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united742-my.sharepoint.com/personal/marym_unitedwaylee_org/Documents/VITA/FORM 8962/"/>
    </mc:Choice>
  </mc:AlternateContent>
  <bookViews>
    <workbookView xWindow="0" yWindow="0" windowWidth="20490" windowHeight="7770"/>
  </bookViews>
  <sheets>
    <sheet name="Printable Form" sheetId="7" r:id="rId1"/>
    <sheet name="Form 8962" sheetId="1" state="hidden" r:id="rId2"/>
    <sheet name="Applicable Figures" sheetId="4" state="hidden" r:id="rId3"/>
    <sheet name="REPayment Limitation" sheetId="5" state="hidden" r:id="rId4"/>
    <sheet name="tables" sheetId="2" state="hidden" r:id="rId5"/>
  </sheets>
  <definedNames>
    <definedName name="_xlnm.Print_Area" localSheetId="0">'Printable Form'!$A$2:$AF$51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AC12" i="7"/>
  <c r="AJ17" i="7"/>
  <c r="AC11" i="7" s="1"/>
  <c r="C9" i="5"/>
  <c r="AK3" i="7"/>
  <c r="AI30" i="7" l="1"/>
  <c r="T27" i="7" l="1"/>
  <c r="AC45" i="7" s="1"/>
  <c r="B27" i="7"/>
  <c r="G50" i="1"/>
  <c r="G51" i="1"/>
  <c r="G52" i="1"/>
  <c r="G53" i="1"/>
  <c r="G54" i="1"/>
  <c r="G55" i="1"/>
  <c r="G56" i="1"/>
  <c r="G57" i="1"/>
  <c r="G58" i="1"/>
  <c r="G59" i="1"/>
  <c r="G60" i="1"/>
  <c r="G49" i="1"/>
  <c r="B37" i="1" l="1"/>
  <c r="B50" i="1"/>
  <c r="B51" i="1"/>
  <c r="B52" i="1"/>
  <c r="B53" i="1"/>
  <c r="B54" i="1"/>
  <c r="B55" i="1"/>
  <c r="B56" i="1"/>
  <c r="B57" i="1"/>
  <c r="B58" i="1"/>
  <c r="B59" i="1"/>
  <c r="B60" i="1"/>
  <c r="C50" i="1"/>
  <c r="C51" i="1"/>
  <c r="C52" i="1"/>
  <c r="C53" i="1"/>
  <c r="C54" i="1"/>
  <c r="C55" i="1"/>
  <c r="C56" i="1"/>
  <c r="C57" i="1"/>
  <c r="C58" i="1"/>
  <c r="C59" i="1"/>
  <c r="C60" i="1"/>
  <c r="C49" i="1"/>
  <c r="B49" i="1"/>
  <c r="B39" i="1" l="1"/>
  <c r="C45" i="1"/>
  <c r="B45" i="1"/>
  <c r="B10" i="1"/>
  <c r="G45" i="1"/>
  <c r="B63" i="1" s="1"/>
  <c r="B38" i="1"/>
  <c r="B18" i="1"/>
  <c r="B14" i="1"/>
  <c r="B13" i="1"/>
  <c r="B12" i="1"/>
  <c r="B11" i="1"/>
  <c r="B7" i="1"/>
  <c r="B3" i="1"/>
  <c r="AC6" i="7"/>
  <c r="B40" i="1" l="1"/>
  <c r="C3" i="1"/>
  <c r="C2" i="1"/>
  <c r="B44" i="1" l="1"/>
  <c r="E44" i="1"/>
  <c r="C40" i="1"/>
  <c r="C44" i="1"/>
  <c r="G44" i="1"/>
  <c r="D44" i="1"/>
  <c r="F44" i="1"/>
  <c r="B22" i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G7" i="2" l="1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" i="4"/>
  <c r="B15" i="1"/>
  <c r="U9" i="7" s="1"/>
  <c r="G5" i="2" s="1"/>
  <c r="B20" i="1" l="1"/>
  <c r="G9" i="2" l="1"/>
  <c r="G10" i="2" l="1"/>
  <c r="AC14" i="7" s="1"/>
  <c r="I7" i="5" l="1"/>
  <c r="I10" i="5" s="1"/>
  <c r="B25" i="1"/>
  <c r="B29" i="1" s="1"/>
  <c r="J10" i="5"/>
  <c r="I12" i="5" s="1"/>
  <c r="AC19" i="7" l="1"/>
  <c r="K21" i="7" s="1"/>
  <c r="AC21" i="7" s="1"/>
  <c r="J7" i="5"/>
  <c r="B27" i="1"/>
  <c r="B16" i="7"/>
  <c r="B17" i="7"/>
  <c r="B31" i="1"/>
  <c r="B32" i="1" l="1"/>
  <c r="D45" i="1"/>
  <c r="E45" i="1" s="1"/>
  <c r="F45" i="1" s="1"/>
  <c r="D49" i="1"/>
  <c r="E49" i="1" s="1"/>
  <c r="D59" i="1"/>
  <c r="E59" i="1" s="1"/>
  <c r="D55" i="1"/>
  <c r="E55" i="1" s="1"/>
  <c r="D51" i="1"/>
  <c r="E51" i="1" s="1"/>
  <c r="D58" i="1"/>
  <c r="E58" i="1" s="1"/>
  <c r="D54" i="1"/>
  <c r="E54" i="1" s="1"/>
  <c r="D50" i="1"/>
  <c r="E50" i="1" s="1"/>
  <c r="D57" i="1"/>
  <c r="E57" i="1" s="1"/>
  <c r="D53" i="1"/>
  <c r="E53" i="1" s="1"/>
  <c r="D60" i="1"/>
  <c r="E60" i="1" s="1"/>
  <c r="D56" i="1"/>
  <c r="E56" i="1" s="1"/>
  <c r="D52" i="1"/>
  <c r="E52" i="1" s="1"/>
  <c r="M30" i="7"/>
  <c r="O30" i="7" s="1"/>
  <c r="V30" i="7" s="1"/>
  <c r="M32" i="7" l="1"/>
  <c r="O32" i="7" s="1"/>
  <c r="V32" i="7" s="1"/>
  <c r="M33" i="7"/>
  <c r="M35" i="7"/>
  <c r="M37" i="7"/>
  <c r="M39" i="7"/>
  <c r="M41" i="7"/>
  <c r="M43" i="7"/>
  <c r="M34" i="7"/>
  <c r="M36" i="7"/>
  <c r="O36" i="7" s="1"/>
  <c r="V36" i="7" s="1"/>
  <c r="M38" i="7"/>
  <c r="O38" i="7" s="1"/>
  <c r="V38" i="7" s="1"/>
  <c r="M40" i="7"/>
  <c r="O40" i="7" s="1"/>
  <c r="V40" i="7" s="1"/>
  <c r="M42" i="7"/>
  <c r="O42" i="7" s="1"/>
  <c r="V42" i="7" s="1"/>
  <c r="F57" i="1"/>
  <c r="F60" i="1"/>
  <c r="F50" i="1"/>
  <c r="F58" i="1"/>
  <c r="F53" i="1"/>
  <c r="F49" i="1"/>
  <c r="F56" i="1"/>
  <c r="F51" i="1"/>
  <c r="F59" i="1"/>
  <c r="F54" i="1"/>
  <c r="F52" i="1"/>
  <c r="F55" i="1"/>
  <c r="B62" i="1" l="1"/>
  <c r="O34" i="7"/>
  <c r="V34" i="7" s="1"/>
  <c r="O41" i="7"/>
  <c r="V41" i="7" s="1"/>
  <c r="O37" i="7"/>
  <c r="V37" i="7" s="1"/>
  <c r="O33" i="7"/>
  <c r="V33" i="7" s="1"/>
  <c r="O43" i="7"/>
  <c r="V43" i="7" s="1"/>
  <c r="O39" i="7"/>
  <c r="V39" i="7" s="1"/>
  <c r="O35" i="7"/>
  <c r="V35" i="7" s="1"/>
  <c r="AC44" i="7" l="1"/>
  <c r="AC49" i="7" s="1"/>
  <c r="B68" i="1"/>
  <c r="B64" i="1"/>
  <c r="AC46" i="7" l="1"/>
  <c r="AC48" i="7"/>
  <c r="AC50" i="7" s="1"/>
  <c r="B69" i="1"/>
  <c r="B70" i="1" l="1"/>
</calcChain>
</file>

<file path=xl/sharedStrings.xml><?xml version="1.0" encoding="utf-8"?>
<sst xmlns="http://schemas.openxmlformats.org/spreadsheetml/2006/main" count="243" uniqueCount="207">
  <si>
    <r>
      <rPr>
        <sz val="7"/>
        <rFont val="Minion Pro"/>
        <family val="1"/>
      </rPr>
      <t xml:space="preserve">Form  </t>
    </r>
    <r>
      <rPr>
        <b/>
        <sz val="24"/>
        <rFont val="Minion Pro"/>
      </rPr>
      <t>8962</t>
    </r>
    <r>
      <rPr>
        <sz val="24"/>
        <rFont val="Minion Pro"/>
        <family val="1"/>
      </rPr>
      <t xml:space="preserve">
</t>
    </r>
    <r>
      <rPr>
        <sz val="7"/>
        <rFont val="Minion Pro"/>
        <family val="1"/>
      </rPr>
      <t>Department of the Treasury
Internal Revenue Service</t>
    </r>
  </si>
  <si>
    <r>
      <rPr>
        <b/>
        <sz val="14"/>
        <rFont val="Myriad Pro"/>
        <family val="2"/>
      </rPr>
      <t xml:space="preserve">Premium Tax Credit (PTC)
</t>
    </r>
    <r>
      <rPr>
        <vertAlign val="superscript"/>
        <sz val="6"/>
        <rFont val="Minion Pro"/>
        <family val="1"/>
      </rPr>
      <t xml:space="preserve">▶ </t>
    </r>
    <r>
      <rPr>
        <b/>
        <sz val="8"/>
        <rFont val="Minion Pro"/>
        <family val="1"/>
      </rPr>
      <t xml:space="preserve">Attach to Form 1040 or Form 1040NR.
</t>
    </r>
    <r>
      <rPr>
        <vertAlign val="superscript"/>
        <sz val="6"/>
        <rFont val="Minion Pro"/>
        <family val="1"/>
      </rPr>
      <t xml:space="preserve">▶ </t>
    </r>
    <r>
      <rPr>
        <b/>
        <sz val="8"/>
        <rFont val="Minion Pro"/>
        <family val="1"/>
      </rPr>
      <t xml:space="preserve">Go to </t>
    </r>
    <r>
      <rPr>
        <b/>
        <i/>
        <sz val="8"/>
        <rFont val="Minion Pro"/>
        <family val="1"/>
      </rPr>
      <t xml:space="preserve">www.irs.gov/Form8962 </t>
    </r>
    <r>
      <rPr>
        <b/>
        <sz val="8"/>
        <rFont val="Minion Pro"/>
        <family val="1"/>
      </rPr>
      <t>for instructions and the latest information.</t>
    </r>
  </si>
  <si>
    <r>
      <rPr>
        <sz val="7"/>
        <rFont val="Minion Pro"/>
        <family val="1"/>
      </rPr>
      <t>OMB No. 1545-0074</t>
    </r>
  </si>
  <si>
    <t>START HERE AND READ EACH LINE CAREFULLY!! FILL IN BLUE FIELDS</t>
  </si>
  <si>
    <r>
      <rPr>
        <sz val="20"/>
        <rFont val="Castellar"/>
        <family val="1"/>
      </rPr>
      <t>20</t>
    </r>
    <r>
      <rPr>
        <b/>
        <sz val="20"/>
        <rFont val="Castellar"/>
        <family val="1"/>
      </rPr>
      <t>18</t>
    </r>
    <r>
      <rPr>
        <sz val="20"/>
        <rFont val="Minion Pro"/>
        <family val="1"/>
      </rPr>
      <t xml:space="preserve">
</t>
    </r>
    <r>
      <rPr>
        <sz val="7"/>
        <rFont val="Minion Pro"/>
        <family val="1"/>
      </rPr>
      <t xml:space="preserve">Attachment
Sequence No. </t>
    </r>
    <r>
      <rPr>
        <b/>
        <sz val="10"/>
        <rFont val="Minion Pro"/>
        <family val="1"/>
      </rPr>
      <t>73</t>
    </r>
  </si>
  <si>
    <r>
      <t xml:space="preserve">Is Filing Status </t>
    </r>
    <r>
      <rPr>
        <b/>
        <sz val="10"/>
        <color theme="4" tint="-0.249977111117893"/>
        <rFont val="Calibri"/>
        <family val="2"/>
        <scheme val="minor"/>
      </rPr>
      <t>Single</t>
    </r>
    <r>
      <rPr>
        <b/>
        <sz val="10"/>
        <color theme="1"/>
        <rFont val="Calibri"/>
        <family val="2"/>
        <scheme val="minor"/>
      </rPr>
      <t>? Type Yes or NO</t>
    </r>
  </si>
  <si>
    <t>Name shown on your return</t>
  </si>
  <si>
    <r>
      <rPr>
        <sz val="7"/>
        <rFont val="Minion Pro"/>
        <family val="1"/>
      </rPr>
      <t>Your social security number</t>
    </r>
  </si>
  <si>
    <r>
      <t xml:space="preserve">Is Filing Status </t>
    </r>
    <r>
      <rPr>
        <b/>
        <sz val="10"/>
        <color theme="4" tint="-0.249977111117893"/>
        <rFont val="Calibri"/>
        <family val="2"/>
        <scheme val="minor"/>
      </rPr>
      <t>Married FILING SEPARATELY</t>
    </r>
    <r>
      <rPr>
        <b/>
        <sz val="10"/>
        <color theme="1"/>
        <rFont val="Calibri"/>
        <family val="2"/>
        <scheme val="minor"/>
      </rPr>
      <t>? Type Yes or NO</t>
    </r>
  </si>
  <si>
    <t>if married filing separate you must answer these 2 questions</t>
  </si>
  <si>
    <r>
      <t xml:space="preserve">You cannot take the PTC if your filing status is </t>
    </r>
    <r>
      <rPr>
        <b/>
        <u/>
        <sz val="10"/>
        <color theme="1"/>
        <rFont val="Calibri"/>
        <family val="2"/>
        <scheme val="minor"/>
      </rPr>
      <t xml:space="preserve">married filing separately unless you qualify for an exception </t>
    </r>
    <r>
      <rPr>
        <b/>
        <sz val="10"/>
        <color theme="1"/>
        <rFont val="Calibri"/>
        <family val="2"/>
        <scheme val="minor"/>
      </rPr>
      <t xml:space="preserve"> (ex: s</t>
    </r>
    <r>
      <rPr>
        <b/>
        <sz val="10"/>
        <color theme="4" tint="-0.249977111117893"/>
        <rFont val="Calibri"/>
        <family val="2"/>
        <scheme val="minor"/>
      </rPr>
      <t>eparated due to domestic violence</t>
    </r>
    <r>
      <rPr>
        <b/>
        <sz val="10"/>
        <color theme="1"/>
        <rFont val="Calibri"/>
        <family val="2"/>
        <scheme val="minor"/>
      </rPr>
      <t xml:space="preserve">-there is  a 3 year limit--see instructions).  </t>
    </r>
    <r>
      <rPr>
        <b/>
        <sz val="10"/>
        <color theme="4" tint="-0.249977111117893"/>
        <rFont val="Calibri"/>
        <family val="2"/>
        <scheme val="minor"/>
      </rPr>
      <t>Do You Qualify?  Yes or No</t>
    </r>
  </si>
  <si>
    <r>
      <rPr>
        <sz val="7"/>
        <rFont val="Times New Roman"/>
        <family val="1"/>
      </rPr>
      <t xml:space="preserve">You cannot take the PTC if your filing status is married filing separately unless you qualify for an exception (see instructions).   If you qualify, check the box    .        .       .       </t>
    </r>
    <r>
      <rPr>
        <vertAlign val="superscript"/>
        <sz val="5"/>
        <rFont val="Times New Roman"/>
        <family val="1"/>
      </rPr>
      <t>▶</t>
    </r>
  </si>
  <si>
    <t>Part I</t>
  </si>
  <si>
    <t xml:space="preserve"> Annual and Monthly Contribution Amount</t>
  </si>
  <si>
    <r>
      <t xml:space="preserve">1 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Tax family size. Enter your tax family size (see instructions)   </t>
    </r>
  </si>
  <si>
    <t>2a   Modified AGI. Enter your modified AGI (see instructions)      .      .      .      .      .      .      .      .      .      .</t>
  </si>
  <si>
    <t>2a</t>
  </si>
  <si>
    <t>Complete this section to get calcualtion for Line 2a</t>
  </si>
  <si>
    <t xml:space="preserve">  b   Enter the total of your dependents’ modified AGI (see instructions)    .      .      .      .      .      .      .      .</t>
  </si>
  <si>
    <t>2b</t>
  </si>
  <si>
    <t>Line 2a: Calculate Modified AGI-Look at 1040</t>
  </si>
  <si>
    <t>3    Household income. Add the amounts on lines 2a and 2b (see instructions)     .      .      .      .      .      .      .      .      .      .      .      .      .      .</t>
  </si>
  <si>
    <t xml:space="preserve"> Enter your adjusted gross income (AGI)* from Form 1040, line 7</t>
  </si>
  <si>
    <t>4   Federal poverty line. Enter the federal poverty line amount from Table 1-1, 1-2, or 1-3 (see instructions). Check the</t>
  </si>
  <si>
    <t xml:space="preserve">Enter any tax-exempt interest from Form 1040, line 2a, </t>
  </si>
  <si>
    <t xml:space="preserve">    appropriate box for the federal poverty table used.</t>
  </si>
  <si>
    <t>a.</t>
  </si>
  <si>
    <t>Alaska</t>
  </si>
  <si>
    <t>b.</t>
  </si>
  <si>
    <t>Hawaii</t>
  </si>
  <si>
    <t xml:space="preserve">c. </t>
  </si>
  <si>
    <t>X</t>
  </si>
  <si>
    <t>Other 48 States &amp; DC</t>
  </si>
  <si>
    <t>Enter any amounts from Form 2555, lines 45 and 50, 
and Form 2555-EZ, line 18</t>
  </si>
  <si>
    <t>5        Household income as a percentage of federal poverty line (see instructions)  .      .      .      .      .      .      .      .      .      .      .      .      .      .      .</t>
  </si>
  <si>
    <t>%</t>
  </si>
  <si>
    <t>6        Did you enter 401% on line 5? (See instructions if you entered less than 100%.)</t>
  </si>
  <si>
    <t>Enter Form 1040 Line 5a</t>
  </si>
  <si>
    <t>No. Continue to line 7.</t>
  </si>
  <si>
    <t>Enter Form1040 Line 5b</t>
  </si>
  <si>
    <t>Yes. You are not eligible to take the PTC. If advance payment of the PTC was made, see the instructions for how to report your excess advance PTC repayment amount.</t>
  </si>
  <si>
    <t>Enter on Line 2 Modified AGI=</t>
  </si>
  <si>
    <t>7   Applicable Figure. Using your line 5 percentage, locate your “applicable figure” on the table in the instructions</t>
  </si>
  <si>
    <t>8a Annual contribution amount.  Multiply line 3 by line 7. Round to nearest whole dollar amount.</t>
  </si>
  <si>
    <r>
      <rPr>
        <b/>
        <sz val="9"/>
        <rFont val="Times New Roman"/>
        <family val="1"/>
      </rPr>
      <t xml:space="preserve">b  </t>
    </r>
    <r>
      <rPr>
        <sz val="9"/>
        <rFont val="Times New Roman"/>
        <family val="1"/>
      </rPr>
      <t>Monthly contribution amount. Divide line  8a by 12. Round to nearest whole dollar amount.</t>
    </r>
  </si>
  <si>
    <r>
      <rPr>
        <b/>
        <sz val="8"/>
        <rFont val="Minion Pro"/>
        <family val="1"/>
      </rPr>
      <t>8b</t>
    </r>
  </si>
  <si>
    <t>Yes</t>
  </si>
  <si>
    <r>
      <rPr>
        <b/>
        <sz val="8"/>
        <rFont val="Minion Pro"/>
        <family val="1"/>
      </rPr>
      <t>8a</t>
    </r>
  </si>
  <si>
    <t>No</t>
  </si>
  <si>
    <t>Part II</t>
  </si>
  <si>
    <t>Premium Tax Credit Claim and Reconciliation of Advance Payment of Premium Tax Credit</t>
  </si>
  <si>
    <t>9   Are you allocating policy amounts with another taxpayer or do you want to use the alternative calculation for year of marriage (see instructions)?</t>
  </si>
  <si>
    <t>Yes. Skip to Part IV, Allocation of Policy Amounts, or Part V, Alternative Calculation for Year of Marriage</t>
  </si>
  <si>
    <t>No. Continue to line 10.</t>
  </si>
  <si>
    <t>ALLOCATING IS NOT AN OPTION FOR VITA OR THIS FORM'S PURPOSE</t>
  </si>
  <si>
    <t>10  See the instructions to determine if you can use line 11 or must complete lines 12 through 23.</t>
  </si>
  <si>
    <t>Line 10- Look at all the Rows and Columns from Form 1095A Lines 21 through 32</t>
  </si>
  <si>
    <t>Yes.  Continue  to  line  11.  Compute  your  annual  PTC.  Then  skip  lines  12–23  and continue to line 24.</t>
  </si>
  <si>
    <t>No.  Continue  to  lines  12–23.  Compute  your monthly PTC and continue to line 24.</t>
  </si>
  <si>
    <t xml:space="preserve">Are all Amounts in Column A from Lines 21-32 the Same? </t>
  </si>
  <si>
    <t>ENTER YES OR NO</t>
  </si>
  <si>
    <t>Are all Amounts in Column B from Lines 21-32 the Same?</t>
  </si>
  <si>
    <r>
      <rPr>
        <b/>
        <sz val="8"/>
        <rFont val="Minion Pro"/>
        <family val="1"/>
      </rPr>
      <t>Annual Calculation</t>
    </r>
  </si>
  <si>
    <r>
      <rPr>
        <b/>
        <sz val="7"/>
        <rFont val="Minion Pro"/>
        <family val="1"/>
      </rPr>
      <t xml:space="preserve">(a) </t>
    </r>
    <r>
      <rPr>
        <sz val="7"/>
        <rFont val="Minion Pro"/>
        <family val="1"/>
      </rPr>
      <t>Annual enrollment premiums (Form(s) 1095-A, line 33A)</t>
    </r>
  </si>
  <si>
    <r>
      <rPr>
        <b/>
        <sz val="7"/>
        <rFont val="Minion Pro"/>
        <family val="1"/>
      </rPr>
      <t xml:space="preserve">(b) </t>
    </r>
    <r>
      <rPr>
        <sz val="7"/>
        <rFont val="Minion Pro"/>
        <family val="1"/>
      </rPr>
      <t>Annual applicable SLCSP premium (Form(s) 1095-A, line 33B)</t>
    </r>
  </si>
  <si>
    <r>
      <rPr>
        <b/>
        <sz val="7"/>
        <rFont val="Minion Pro"/>
        <family val="1"/>
      </rPr>
      <t xml:space="preserve">(c) </t>
    </r>
    <r>
      <rPr>
        <sz val="7"/>
        <rFont val="Minion Pro"/>
        <family val="1"/>
      </rPr>
      <t>Annual contribution amount (line 8a)</t>
    </r>
  </si>
  <si>
    <r>
      <rPr>
        <b/>
        <sz val="7"/>
        <rFont val="Minion Pro"/>
        <family val="1"/>
      </rPr>
      <t xml:space="preserve">(d) </t>
    </r>
    <r>
      <rPr>
        <sz val="7"/>
        <rFont val="Minion Pro"/>
        <family val="1"/>
      </rPr>
      <t xml:space="preserve">Annual maximum premium assistance
</t>
    </r>
    <r>
      <rPr>
        <sz val="7"/>
        <rFont val="Minion Pro"/>
        <family val="1"/>
      </rPr>
      <t>(subtract (c) from (b), if zero or less, enter -0-)</t>
    </r>
  </si>
  <si>
    <r>
      <rPr>
        <b/>
        <sz val="7"/>
        <rFont val="Minion Pro"/>
        <family val="1"/>
      </rPr>
      <t xml:space="preserve">(e) </t>
    </r>
    <r>
      <rPr>
        <sz val="7"/>
        <rFont val="Minion Pro"/>
        <family val="1"/>
      </rPr>
      <t>Annual premium tax credit allowed (smaller of (a) or (d))</t>
    </r>
  </si>
  <si>
    <r>
      <rPr>
        <b/>
        <sz val="7"/>
        <rFont val="Minion Pro"/>
        <family val="1"/>
      </rPr>
      <t xml:space="preserve">(f) </t>
    </r>
    <r>
      <rPr>
        <sz val="7"/>
        <rFont val="Minion Pro"/>
        <family val="1"/>
      </rPr>
      <t xml:space="preserve">Annual advance payment of PTC (Form(s) 1095-A,
</t>
    </r>
    <r>
      <rPr>
        <sz val="7"/>
        <rFont val="Minion Pro"/>
        <family val="1"/>
      </rPr>
      <t>line 33C)</t>
    </r>
  </si>
  <si>
    <t>Are all Amounts in Column C from Lines 21-32 the Same?</t>
  </si>
  <si>
    <r>
      <rPr>
        <b/>
        <sz val="8"/>
        <rFont val="Minion Pro"/>
        <family val="1"/>
      </rPr>
      <t xml:space="preserve">11    </t>
    </r>
    <r>
      <rPr>
        <sz val="8"/>
        <rFont val="Minion Pro"/>
        <family val="1"/>
      </rPr>
      <t>Annual Totals</t>
    </r>
  </si>
  <si>
    <r>
      <rPr>
        <b/>
        <sz val="8"/>
        <rFont val="Minion Pro"/>
        <family val="1"/>
      </rPr>
      <t>Monthly Calculation</t>
    </r>
  </si>
  <si>
    <r>
      <rPr>
        <b/>
        <sz val="7"/>
        <rFont val="Minion Pro"/>
        <family val="1"/>
      </rPr>
      <t xml:space="preserve">(a) </t>
    </r>
    <r>
      <rPr>
        <sz val="7"/>
        <rFont val="Minion Pro"/>
        <family val="1"/>
      </rPr>
      <t xml:space="preserve">Monthly enrollment premiums (Form(s) 1095-A, lines 21–32,
</t>
    </r>
    <r>
      <rPr>
        <sz val="7"/>
        <rFont val="Minion Pro"/>
        <family val="1"/>
      </rPr>
      <t>column A)</t>
    </r>
  </si>
  <si>
    <r>
      <rPr>
        <b/>
        <sz val="7"/>
        <rFont val="Minion Pro"/>
        <family val="1"/>
      </rPr>
      <t xml:space="preserve">(b) </t>
    </r>
    <r>
      <rPr>
        <sz val="7"/>
        <rFont val="Minion Pro"/>
        <family val="1"/>
      </rPr>
      <t xml:space="preserve">Monthly applicable SLCSP premium     (Form (s) 1095-A, lines 21–32,
</t>
    </r>
    <r>
      <rPr>
        <sz val="7"/>
        <rFont val="Minion Pro"/>
        <family val="1"/>
      </rPr>
      <t>column B)</t>
    </r>
  </si>
  <si>
    <r>
      <rPr>
        <b/>
        <sz val="7"/>
        <rFont val="Minion Pro"/>
        <family val="1"/>
      </rPr>
      <t xml:space="preserve">(c) </t>
    </r>
    <r>
      <rPr>
        <sz val="7"/>
        <rFont val="Minion Pro"/>
        <family val="1"/>
      </rPr>
      <t>Monthly contribution amount (amount from line 8b or alternative marriage monthly calculation)</t>
    </r>
  </si>
  <si>
    <r>
      <rPr>
        <b/>
        <sz val="7"/>
        <rFont val="Minion Pro"/>
        <family val="1"/>
      </rPr>
      <t xml:space="preserve">(d) </t>
    </r>
    <r>
      <rPr>
        <sz val="7"/>
        <rFont val="Minion Pro"/>
        <family val="1"/>
      </rPr>
      <t xml:space="preserve">Monthly maximum premium assistance
</t>
    </r>
    <r>
      <rPr>
        <sz val="7"/>
        <rFont val="Minion Pro"/>
        <family val="1"/>
      </rPr>
      <t>(subtract (c) from (b), if zero or less, enter -0-)</t>
    </r>
  </si>
  <si>
    <r>
      <rPr>
        <b/>
        <sz val="7"/>
        <rFont val="Minion Pro"/>
        <family val="1"/>
      </rPr>
      <t xml:space="preserve">(e) </t>
    </r>
    <r>
      <rPr>
        <sz val="7"/>
        <rFont val="Minion Pro"/>
        <family val="1"/>
      </rPr>
      <t xml:space="preserve">Monthly premium tax credit allowed
</t>
    </r>
    <r>
      <rPr>
        <sz val="7"/>
        <rFont val="Minion Pro"/>
        <family val="1"/>
      </rPr>
      <t>(smaller of (a) or (d))</t>
    </r>
  </si>
  <si>
    <r>
      <rPr>
        <b/>
        <sz val="7"/>
        <rFont val="Minion Pro"/>
        <family val="1"/>
      </rPr>
      <t xml:space="preserve">(f) </t>
    </r>
    <r>
      <rPr>
        <sz val="7"/>
        <rFont val="Minion Pro"/>
        <family val="1"/>
      </rPr>
      <t xml:space="preserve">Monthly advance payment of PTC (Form(s) 1095-A, lines 21–32, column
</t>
    </r>
    <r>
      <rPr>
        <sz val="7"/>
        <rFont val="Minion Pro"/>
        <family val="1"/>
      </rPr>
      <t>C)</t>
    </r>
  </si>
  <si>
    <r>
      <rPr>
        <b/>
        <sz val="8"/>
        <rFont val="Minion Pro"/>
        <family val="1"/>
      </rPr>
      <t xml:space="preserve">12      </t>
    </r>
    <r>
      <rPr>
        <sz val="8"/>
        <rFont val="Minion Pro"/>
        <family val="1"/>
      </rPr>
      <t>January</t>
    </r>
  </si>
  <si>
    <r>
      <rPr>
        <b/>
        <sz val="8"/>
        <rFont val="Minion Pro"/>
        <family val="1"/>
      </rPr>
      <t xml:space="preserve">13      </t>
    </r>
    <r>
      <rPr>
        <sz val="8"/>
        <rFont val="Minion Pro"/>
        <family val="1"/>
      </rPr>
      <t>February</t>
    </r>
  </si>
  <si>
    <t>Only enter values in the blue fields --</t>
  </si>
  <si>
    <r>
      <rPr>
        <b/>
        <sz val="8"/>
        <rFont val="Minion Pro"/>
        <family val="1"/>
      </rPr>
      <t xml:space="preserve">14      </t>
    </r>
    <r>
      <rPr>
        <sz val="8"/>
        <rFont val="Minion Pro"/>
        <family val="1"/>
      </rPr>
      <t>March</t>
    </r>
  </si>
  <si>
    <t>Information is on the 1095A</t>
  </si>
  <si>
    <r>
      <rPr>
        <b/>
        <sz val="8"/>
        <rFont val="Minion Pro"/>
        <family val="1"/>
      </rPr>
      <t xml:space="preserve">15      </t>
    </r>
    <r>
      <rPr>
        <sz val="8"/>
        <rFont val="Minion Pro"/>
        <family val="1"/>
      </rPr>
      <t>April</t>
    </r>
  </si>
  <si>
    <t>Refer to PUB 4012 Section H as needed</t>
  </si>
  <si>
    <r>
      <rPr>
        <b/>
        <sz val="8"/>
        <rFont val="Minion Pro"/>
        <family val="1"/>
      </rPr>
      <t xml:space="preserve">16      </t>
    </r>
    <r>
      <rPr>
        <sz val="8"/>
        <rFont val="Minion Pro"/>
        <family val="1"/>
      </rPr>
      <t>May</t>
    </r>
  </si>
  <si>
    <r>
      <rPr>
        <b/>
        <sz val="8"/>
        <rFont val="Minion Pro"/>
        <family val="1"/>
      </rPr>
      <t xml:space="preserve">17      </t>
    </r>
    <r>
      <rPr>
        <sz val="8"/>
        <rFont val="Minion Pro"/>
        <family val="1"/>
      </rPr>
      <t>June</t>
    </r>
  </si>
  <si>
    <r>
      <rPr>
        <b/>
        <sz val="8"/>
        <rFont val="Minion Pro"/>
        <family val="1"/>
      </rPr>
      <t xml:space="preserve">18      </t>
    </r>
    <r>
      <rPr>
        <sz val="8"/>
        <rFont val="Minion Pro"/>
        <family val="1"/>
      </rPr>
      <t>July</t>
    </r>
  </si>
  <si>
    <r>
      <rPr>
        <b/>
        <sz val="8"/>
        <rFont val="Minion Pro"/>
        <family val="1"/>
      </rPr>
      <t xml:space="preserve">19      </t>
    </r>
    <r>
      <rPr>
        <sz val="8"/>
        <rFont val="Minion Pro"/>
        <family val="1"/>
      </rPr>
      <t>August</t>
    </r>
  </si>
  <si>
    <r>
      <rPr>
        <b/>
        <sz val="8"/>
        <rFont val="Minion Pro"/>
        <family val="1"/>
      </rPr>
      <t xml:space="preserve">20      </t>
    </r>
    <r>
      <rPr>
        <sz val="8"/>
        <rFont val="Minion Pro"/>
        <family val="1"/>
      </rPr>
      <t>September</t>
    </r>
  </si>
  <si>
    <r>
      <rPr>
        <b/>
        <sz val="8"/>
        <rFont val="Minion Pro"/>
        <family val="1"/>
      </rPr>
      <t xml:space="preserve">21      </t>
    </r>
    <r>
      <rPr>
        <sz val="8"/>
        <rFont val="Minion Pro"/>
        <family val="1"/>
      </rPr>
      <t>October</t>
    </r>
  </si>
  <si>
    <r>
      <rPr>
        <b/>
        <sz val="8"/>
        <rFont val="Minion Pro"/>
        <family val="1"/>
      </rPr>
      <t xml:space="preserve">22      </t>
    </r>
    <r>
      <rPr>
        <sz val="8"/>
        <rFont val="Minion Pro"/>
        <family val="1"/>
      </rPr>
      <t>November</t>
    </r>
  </si>
  <si>
    <r>
      <rPr>
        <b/>
        <sz val="8"/>
        <rFont val="Minion Pro"/>
        <family val="1"/>
      </rPr>
      <t xml:space="preserve">23      </t>
    </r>
    <r>
      <rPr>
        <sz val="8"/>
        <rFont val="Minion Pro"/>
        <family val="1"/>
      </rPr>
      <t>December</t>
    </r>
  </si>
  <si>
    <t>24   Total premium tax credit. Enter the amount from line 11(e) or add lines 12(e) through 23(e) and enter the total here…</t>
  </si>
  <si>
    <t>Amount of Subsidy Allowed</t>
  </si>
  <si>
    <t>25   Advance payment of PTC. Enter the amount from line 11(f) or add lines 12(f) through 23(f) and enter the total here…</t>
  </si>
  <si>
    <t>Amount of Subsidy Received</t>
  </si>
  <si>
    <t>26    Net premium tax credit. If line 24 is greater than line 25, subtract line 25 from line 24. Enter the difference here and on Schedule 5 (Form 1040), line 70, or Form 1040NR, line 65. If line 24 equals line 25, enter -0-. Stop here. If line 25 is greater than line 24, leave this line blank and continue to line 27 ...</t>
  </si>
  <si>
    <t>Amount of Subsidy they Owe Back to YOU</t>
  </si>
  <si>
    <r>
      <rPr>
        <b/>
        <sz val="10"/>
        <color rgb="FFFFFFFF"/>
        <rFont val="Minion Pro"/>
        <family val="1"/>
      </rPr>
      <t xml:space="preserve"> Part III       </t>
    </r>
    <r>
      <rPr>
        <b/>
        <sz val="10"/>
        <rFont val="Minion Pro"/>
        <family val="1"/>
      </rPr>
      <t>Repayment of Excess Advance Payment of the Premium Tax Credit</t>
    </r>
  </si>
  <si>
    <t>27  Excess advance payment of PTC.If line 25 is greater than line 24,subtract line 24 from line 25.Enter difference here…</t>
  </si>
  <si>
    <t>Excess Subsidy Received</t>
  </si>
  <si>
    <t>28  Repayment limitation (see instructions) ...</t>
  </si>
  <si>
    <t>Max they can make You pay back</t>
  </si>
  <si>
    <t>29  Excess advance premium tax credit repayment. Enter the smaller of line 27 or line 28 here and on Schedule 2 (Form 1040), line 46, or Form 1040NR, line 44 …</t>
  </si>
  <si>
    <t>Amount You MUST Repay in Subsidy</t>
  </si>
  <si>
    <r>
      <rPr>
        <b/>
        <sz val="8"/>
        <rFont val="Calibri"/>
        <family val="2"/>
        <scheme val="minor"/>
      </rPr>
      <t xml:space="preserve">For Paperwork Reduction Act Notice, see your tax return instructions.                                                 </t>
    </r>
    <r>
      <rPr>
        <sz val="8"/>
        <rFont val="Calibri"/>
        <family val="2"/>
        <scheme val="minor"/>
      </rPr>
      <t xml:space="preserve">Cat. No. 37784Z                                                                      Form </t>
    </r>
    <r>
      <rPr>
        <b/>
        <sz val="8"/>
        <rFont val="Calibri"/>
        <family val="2"/>
        <scheme val="minor"/>
      </rPr>
      <t xml:space="preserve">8962 </t>
    </r>
    <r>
      <rPr>
        <sz val="8"/>
        <rFont val="Calibri"/>
        <family val="2"/>
        <scheme val="minor"/>
      </rPr>
      <t xml:space="preserve">(2018)       </t>
    </r>
  </si>
  <si>
    <t>&lt;--type an x in this box to remove all highlighting before printing</t>
  </si>
  <si>
    <t>READ EACH LINE CAREFULLY!!</t>
  </si>
  <si>
    <r>
      <t xml:space="preserve">Is Filing Status </t>
    </r>
    <r>
      <rPr>
        <b/>
        <sz val="11"/>
        <color theme="4" tint="-0.249977111117893"/>
        <rFont val="Calibri"/>
        <family val="2"/>
        <scheme val="minor"/>
      </rPr>
      <t>Single</t>
    </r>
    <r>
      <rPr>
        <b/>
        <sz val="11"/>
        <color theme="1"/>
        <rFont val="Calibri"/>
        <family val="2"/>
        <scheme val="minor"/>
      </rPr>
      <t>? Type Yes or NO</t>
    </r>
  </si>
  <si>
    <r>
      <t xml:space="preserve">Is Filing Status </t>
    </r>
    <r>
      <rPr>
        <b/>
        <sz val="11"/>
        <color theme="4" tint="-0.249977111117893"/>
        <rFont val="Calibri"/>
        <family val="2"/>
        <scheme val="minor"/>
      </rPr>
      <t>Married FILING SEPARATELY</t>
    </r>
    <r>
      <rPr>
        <b/>
        <sz val="11"/>
        <color theme="1"/>
        <rFont val="Calibri"/>
        <family val="2"/>
        <scheme val="minor"/>
      </rPr>
      <t>? Type Yes or NO</t>
    </r>
  </si>
  <si>
    <r>
      <t xml:space="preserve">You cannot take the PTC if your filing status is </t>
    </r>
    <r>
      <rPr>
        <b/>
        <u/>
        <sz val="11"/>
        <color theme="1"/>
        <rFont val="Calibri"/>
        <family val="2"/>
        <scheme val="minor"/>
      </rPr>
      <t>married filing separately unless you qualify for an exception</t>
    </r>
    <r>
      <rPr>
        <b/>
        <sz val="11"/>
        <color theme="1"/>
        <rFont val="Calibri"/>
        <family val="2"/>
        <scheme val="minor"/>
      </rPr>
      <t xml:space="preserve"> (ex: s</t>
    </r>
    <r>
      <rPr>
        <b/>
        <sz val="11"/>
        <color theme="4" tint="-0.249977111117893"/>
        <rFont val="Calibri"/>
        <family val="2"/>
        <scheme val="minor"/>
      </rPr>
      <t>eparated due to domestic violence</t>
    </r>
    <r>
      <rPr>
        <b/>
        <sz val="11"/>
        <color theme="1"/>
        <rFont val="Calibri"/>
        <family val="2"/>
        <scheme val="minor"/>
      </rPr>
      <t xml:space="preserve">-there is  a 3 year limit--see instructions).
                                                                                                                      </t>
    </r>
    <r>
      <rPr>
        <b/>
        <sz val="11"/>
        <color theme="4" tint="-0.249977111117893"/>
        <rFont val="Calibri"/>
        <family val="2"/>
        <scheme val="minor"/>
      </rPr>
      <t xml:space="preserve">Do You Qualify? </t>
    </r>
    <r>
      <rPr>
        <b/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Type Yes or Type No</t>
    </r>
  </si>
  <si>
    <t>*</t>
  </si>
  <si>
    <t>first try!</t>
  </si>
  <si>
    <t>Line 1-  Tax Family Size</t>
  </si>
  <si>
    <t>Enter any amounts from Form 2555, lines 45 and 50, and Form 2555-EZ, line 18</t>
  </si>
  <si>
    <t>Line 2b: Dependents Modified AGI</t>
  </si>
  <si>
    <t>Enter on line 2b the combined modified AGI for your dependents
who are required to file an income tax return because their
income meets the income tax return filing threshold</t>
  </si>
  <si>
    <t xml:space="preserve">Line 3: Household Income </t>
  </si>
  <si>
    <t>Line 4: Federal Poverty Level</t>
  </si>
  <si>
    <t>For the 48 Continuous States (NOT ALASKA OR HAWAII!!)</t>
  </si>
  <si>
    <t xml:space="preserve">Line 5-Household income as a percentage of federal poverty line </t>
  </si>
  <si>
    <t>Line 6- Did you enter 401% on Line 5? (Check Box)</t>
  </si>
  <si>
    <t>Line 7-Applicable Figure</t>
  </si>
  <si>
    <t>Line 8a- Annual Contribution Amount (Round to Nearest Whole Dollar)</t>
  </si>
  <si>
    <t>Line 8b- Monthly Contribution Amount (Round to Nearest Whole Dollar)</t>
  </si>
  <si>
    <t>Line 9-Are You Allocating (this is a NO for VITA Program)</t>
  </si>
  <si>
    <t>CHECK NO</t>
  </si>
  <si>
    <t>moved this to Printable Form calcualtion sheet to calculate easier</t>
  </si>
  <si>
    <t>ON LINE 10:</t>
  </si>
  <si>
    <t>Annual Calculations</t>
  </si>
  <si>
    <t>Line 11--If Line 10 says "CHECK YES" THEN ENTER</t>
  </si>
  <si>
    <t>Column A</t>
  </si>
  <si>
    <t>Column B</t>
  </si>
  <si>
    <t>Column C</t>
  </si>
  <si>
    <t>Column D</t>
  </si>
  <si>
    <t>Column E</t>
  </si>
  <si>
    <t>Column F</t>
  </si>
  <si>
    <t>*IF YOU ARE MARRIED FILING SEPARATE and you answered No to qualifynig for an exemption at the top of this screen--LEAVE Column A &amp; Column B Blank ONLY ENTER COLUMN C</t>
  </si>
  <si>
    <t>If Line 10 says "CHECK NO" THEN Leave this row blank!</t>
  </si>
  <si>
    <t>if you enter something here then skip to Line 24, else go to Line 12</t>
  </si>
  <si>
    <t>Monthly Calculations</t>
  </si>
  <si>
    <t>Enter the amount from Form 1095A Line 21-32 Column A</t>
  </si>
  <si>
    <t>Enter the amount from Form 1095A Line 21-32 Column B</t>
  </si>
  <si>
    <t>Monthly Contribution Amount</t>
  </si>
  <si>
    <t>(d) Annual maximum premium assistance (subtract (c) from (b), if zero or less, enter -0-)</t>
  </si>
  <si>
    <t>Smaller of A or D</t>
  </si>
  <si>
    <t>Enter the amount from Form 1095A Line 21-32 Column C</t>
  </si>
  <si>
    <t>IF YOU ENTERED</t>
  </si>
  <si>
    <t xml:space="preserve">AN AMOUNT ON </t>
  </si>
  <si>
    <t>LINE 11-ANNUAL</t>
  </si>
  <si>
    <t xml:space="preserve">CALCULATIONS </t>
  </si>
  <si>
    <t>THEN THIS SECTION</t>
  </si>
  <si>
    <t>SHOULD BE BLANK</t>
  </si>
  <si>
    <t>Line 24 -Enter either 11e OR total of 12e through 23e and enter total</t>
  </si>
  <si>
    <t xml:space="preserve">Line 25-Advance payment of PTC. Enter the amount from line 11(f) or add lines 12(f) through 23(f) and enter the total here </t>
  </si>
  <si>
    <r>
      <t>Line 26-</t>
    </r>
    <r>
      <rPr>
        <sz val="11"/>
        <color theme="1"/>
        <rFont val="Calibri"/>
        <family val="2"/>
        <scheme val="minor"/>
      </rPr>
      <t xml:space="preserve"> Net premium tax credit. If line 24 is greater than line 25, subtract line 25 from line 24. 
Enter the difference here and on Schedule 5 (Form 1040), line 70, or Form 1040NR, line 65. If line 24 equals line 25, enter -0-. Stop here. If line
25 is greater than line 24, leave this line blank and continue to line 27 </t>
    </r>
  </si>
  <si>
    <t>Part III Repayment of Excess Advance Premium Tax Credit</t>
  </si>
  <si>
    <r>
      <rPr>
        <b/>
        <sz val="11"/>
        <color theme="1"/>
        <rFont val="Calibri"/>
        <family val="2"/>
        <scheme val="minor"/>
      </rPr>
      <t>Line 27-</t>
    </r>
    <r>
      <rPr>
        <sz val="11"/>
        <color theme="1"/>
        <rFont val="Calibri"/>
        <family val="2"/>
        <scheme val="minor"/>
      </rPr>
      <t xml:space="preserve"> Excess advance payment of PTC. If line 25 is greater than line 24, subtract line 24 from line 25. Enter the difference here</t>
    </r>
  </si>
  <si>
    <t>Line 28- Repayment Limitation</t>
  </si>
  <si>
    <t xml:space="preserve">Line 29-Excess advance premium tax credit repayment. Enter the smaller of line 27 or line 28 here and on Schedule 2
(Form 1040), line 46, or Form 1040NR, line 44 </t>
  </si>
  <si>
    <t>If allowed Repayment Limitation</t>
  </si>
  <si>
    <t xml:space="preserve">Example: </t>
  </si>
  <si>
    <t>unlawful citizens--not entitled</t>
  </si>
  <si>
    <t>Married Separate is allowed limitation</t>
  </si>
  <si>
    <t>over 400% not allowed</t>
  </si>
  <si>
    <t>Single</t>
  </si>
  <si>
    <t>Other</t>
  </si>
  <si>
    <t>Single?</t>
  </si>
  <si>
    <t>Repay Limit</t>
  </si>
  <si>
    <t>Repayment Limit</t>
  </si>
  <si>
    <t>Less than 200</t>
  </si>
  <si>
    <t>&lt;200</t>
  </si>
  <si>
    <t>200-less than 300</t>
  </si>
  <si>
    <t>&gt;=200:&lt;300</t>
  </si>
  <si>
    <t>pulls correct limit if not MFS</t>
  </si>
  <si>
    <t>300-less than 400</t>
  </si>
  <si>
    <t>&gt;=300:&lt;400</t>
  </si>
  <si>
    <t>400 or more</t>
  </si>
  <si>
    <t>&gt;=400</t>
  </si>
  <si>
    <t>Table 1-1 Fed Poverty Table Continuous 48 States</t>
  </si>
  <si>
    <t>Family Size</t>
  </si>
  <si>
    <t>enter line 4</t>
  </si>
  <si>
    <t>Form 8962-Line 5-Worksheet 2</t>
  </si>
  <si>
    <t>WKST LINE 1</t>
  </si>
  <si>
    <t>Form 8962 Line 3</t>
  </si>
  <si>
    <t>WKST LINE 2</t>
  </si>
  <si>
    <t xml:space="preserve">Form8962 Line 4 </t>
  </si>
  <si>
    <t>WKST LINE 3</t>
  </si>
  <si>
    <t>Form 8962 Line 4 x 2</t>
  </si>
  <si>
    <t>WKST LINE 4</t>
  </si>
  <si>
    <t>Is WKST LINE  1  greater than WKST LINE 3?</t>
  </si>
  <si>
    <t>Enter 401% on Form 8962 Line 5</t>
  </si>
  <si>
    <t xml:space="preserve">Divide WKST LINE  1 by WKST LINE  2 </t>
  </si>
  <si>
    <t xml:space="preserve">MOVE DECIMAL TO RIGHT AND DROP </t>
  </si>
  <si>
    <t>EXTRA DIGITS</t>
  </si>
  <si>
    <t>*If your family size was more than 8 people, add $4,180 for each additional person. For example, if your family size is 11, you have 3 additional people. Multiply $4,180 by 3 and add the result of $12,540 to $41,320. Enter the result of $53,860 on Form 8962, line 4.</t>
  </si>
  <si>
    <t>YES</t>
  </si>
  <si>
    <t>NO</t>
  </si>
  <si>
    <t>you need to enter the cost of the SLCSP premium</t>
  </si>
  <si>
    <t xml:space="preserve">If there is a value in Column A but Column B is blank, go to </t>
  </si>
  <si>
    <t>if not avail on your 1095A then go to Marketplace</t>
  </si>
  <si>
    <t>My original try at this before I decided to maek it a sheet--then I copied all this to the new format</t>
  </si>
  <si>
    <t>not wanting to delete this yet as it was my first attempt and a success!</t>
  </si>
  <si>
    <t>leave blank</t>
  </si>
  <si>
    <t>only enter info in the blue fields--read form carefully
Clients who are not lawfully present are not entitled to PTC;
If they are the policy (Part II of Form 1095A) this form is not for you</t>
  </si>
  <si>
    <t>Start on the right side--of the form--NOT FOR ALASKA OR HAWAII ---&gt; (you may want to make a copy before you begin)
TO Print--make sure to click the red box at the bottom of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</si>
</sst>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000"/>
    <numFmt numFmtId="166" formatCode="&quot;$&quot;#,##0.00"/>
    <numFmt numFmtId="167" formatCode="000\-00\-0000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333333"/>
      <name val="Consolas"/>
      <family val="3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Minion Pro"/>
      <family val="1"/>
    </font>
    <font>
      <sz val="7"/>
      <name val="Minion Pro"/>
      <family val="1"/>
    </font>
    <font>
      <b/>
      <sz val="24"/>
      <name val="Minion Pro"/>
    </font>
    <font>
      <sz val="24"/>
      <name val="Minion Pro"/>
      <family val="1"/>
    </font>
    <font>
      <b/>
      <sz val="14"/>
      <name val="Myriad Pro"/>
      <family val="2"/>
    </font>
    <font>
      <vertAlign val="superscript"/>
      <sz val="6"/>
      <name val="Minion Pro"/>
      <family val="1"/>
    </font>
    <font>
      <b/>
      <sz val="8"/>
      <name val="Minion Pro"/>
      <family val="1"/>
    </font>
    <font>
      <b/>
      <i/>
      <sz val="8"/>
      <name val="Minion Pro"/>
      <family val="1"/>
    </font>
    <font>
      <sz val="7"/>
      <name val="Minion Pro"/>
    </font>
    <font>
      <sz val="10"/>
      <name val="Times New Roman"/>
      <family val="1"/>
    </font>
    <font>
      <sz val="20"/>
      <name val="Castellar"/>
      <family val="1"/>
    </font>
    <font>
      <b/>
      <sz val="20"/>
      <name val="Castellar"/>
      <family val="1"/>
    </font>
    <font>
      <sz val="20"/>
      <name val="Minion Pro"/>
      <family val="1"/>
    </font>
    <font>
      <b/>
      <sz val="10"/>
      <name val="Minion Pro"/>
      <family val="1"/>
    </font>
    <font>
      <sz val="7"/>
      <name val="Times New Roman"/>
      <family val="1"/>
    </font>
    <font>
      <vertAlign val="superscript"/>
      <sz val="5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Minion Pro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Minion Pro"/>
    </font>
    <font>
      <sz val="8"/>
      <name val="Minion Pro"/>
      <family val="1"/>
    </font>
    <font>
      <b/>
      <sz val="7"/>
      <name val="Minion Pro"/>
      <family val="1"/>
    </font>
    <font>
      <b/>
      <sz val="10"/>
      <name val="Minion Pro"/>
    </font>
    <font>
      <b/>
      <sz val="10"/>
      <color rgb="FFFFFFFF"/>
      <name val="Minion Pro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FF00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color theme="0"/>
      <name val="Calibri"/>
      <family val="2"/>
      <scheme val="minor"/>
    </font>
    <font>
      <sz val="12"/>
      <name val="Minion Pro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CC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2" borderId="2" xfId="0" applyNumberForma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wrapText="1"/>
    </xf>
    <xf numFmtId="164" fontId="0" fillId="2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top" wrapText="1" indent="1"/>
    </xf>
    <xf numFmtId="165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1" fillId="0" borderId="0" xfId="0" applyFont="1" applyAlignment="1"/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left" wrapText="1"/>
    </xf>
    <xf numFmtId="16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/>
    <xf numFmtId="0" fontId="5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right" wrapText="1"/>
    </xf>
    <xf numFmtId="0" fontId="0" fillId="0" borderId="0" xfId="0" applyFill="1"/>
    <xf numFmtId="1" fontId="0" fillId="0" borderId="0" xfId="0" applyNumberFormat="1" applyFill="1" applyBorder="1"/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5" borderId="10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/>
    </xf>
    <xf numFmtId="0" fontId="0" fillId="0" borderId="11" xfId="0" applyFill="1" applyBorder="1"/>
    <xf numFmtId="0" fontId="1" fillId="2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left" vertical="top"/>
    </xf>
    <xf numFmtId="0" fontId="38" fillId="0" borderId="1" xfId="0" applyFont="1" applyBorder="1" applyAlignment="1">
      <alignment horizontal="right"/>
    </xf>
    <xf numFmtId="0" fontId="41" fillId="0" borderId="0" xfId="0" applyFont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 wrapText="1"/>
    </xf>
    <xf numFmtId="0" fontId="43" fillId="7" borderId="1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>
      <alignment horizontal="left" vertical="top"/>
    </xf>
    <xf numFmtId="0" fontId="39" fillId="7" borderId="0" xfId="0" applyFont="1" applyFill="1" applyBorder="1" applyAlignment="1">
      <alignment horizontal="left" vertical="top"/>
    </xf>
    <xf numFmtId="0" fontId="0" fillId="0" borderId="1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right"/>
    </xf>
    <xf numFmtId="0" fontId="5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1" xfId="0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0" fontId="25" fillId="0" borderId="1" xfId="0" applyFont="1" applyFill="1" applyBorder="1" applyAlignment="1" applyProtection="1">
      <alignment vertical="top" wrapText="1"/>
    </xf>
    <xf numFmtId="0" fontId="25" fillId="0" borderId="1" xfId="0" applyFont="1" applyFill="1" applyBorder="1" applyAlignment="1" applyProtection="1">
      <alignment horizontal="left" vertical="top" wrapText="1" indent="1"/>
    </xf>
    <xf numFmtId="0" fontId="44" fillId="5" borderId="0" xfId="0" applyFont="1" applyFill="1" applyBorder="1" applyAlignment="1">
      <alignment horizontal="left"/>
    </xf>
    <xf numFmtId="0" fontId="0" fillId="10" borderId="1" xfId="0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vertical="top"/>
    </xf>
    <xf numFmtId="0" fontId="25" fillId="0" borderId="1" xfId="0" applyFont="1" applyFill="1" applyBorder="1" applyAlignment="1">
      <alignment horizontal="left" wrapText="1"/>
    </xf>
    <xf numFmtId="0" fontId="51" fillId="0" borderId="39" xfId="0" applyFont="1" applyFill="1" applyBorder="1" applyAlignment="1">
      <alignment horizontal="left" vertical="top"/>
    </xf>
    <xf numFmtId="0" fontId="51" fillId="0" borderId="2" xfId="0" applyFont="1" applyFill="1" applyBorder="1" applyAlignment="1">
      <alignment horizontal="left" vertical="top"/>
    </xf>
    <xf numFmtId="164" fontId="0" fillId="0" borderId="1" xfId="0" applyNumberFormat="1" applyFill="1" applyBorder="1" applyProtection="1">
      <protection locked="0"/>
    </xf>
    <xf numFmtId="0" fontId="51" fillId="0" borderId="38" xfId="0" applyFont="1" applyFill="1" applyBorder="1" applyAlignment="1">
      <alignment horizontal="left" vertical="top"/>
    </xf>
    <xf numFmtId="0" fontId="0" fillId="9" borderId="38" xfId="0" applyFill="1" applyBorder="1" applyAlignment="1" applyProtection="1">
      <alignment horizontal="left" vertical="top"/>
      <protection locked="0"/>
    </xf>
    <xf numFmtId="0" fontId="5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0" borderId="0" xfId="0" quotePrefix="1" applyFill="1" applyBorder="1" applyAlignment="1">
      <alignment horizontal="left" vertical="top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25" fillId="0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3" fillId="7" borderId="16" xfId="0" applyFont="1" applyFill="1" applyBorder="1" applyAlignment="1" applyProtection="1">
      <alignment horizontal="center" vertical="center"/>
      <protection locked="0"/>
    </xf>
    <xf numFmtId="0" fontId="43" fillId="7" borderId="11" xfId="0" applyFont="1" applyFill="1" applyBorder="1" applyAlignment="1" applyProtection="1">
      <alignment horizontal="center" vertical="center"/>
      <protection locked="0"/>
    </xf>
    <xf numFmtId="0" fontId="43" fillId="7" borderId="14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left" vertical="top" wrapText="1"/>
    </xf>
    <xf numFmtId="1" fontId="30" fillId="0" borderId="29" xfId="0" applyNumberFormat="1" applyFont="1" applyFill="1" applyBorder="1" applyAlignment="1">
      <alignment horizontal="left" vertical="top" indent="1" shrinkToFit="1"/>
    </xf>
    <xf numFmtId="1" fontId="30" fillId="0" borderId="31" xfId="0" applyNumberFormat="1" applyFont="1" applyFill="1" applyBorder="1" applyAlignment="1">
      <alignment horizontal="left" vertical="top" indent="1" shrinkToFit="1"/>
    </xf>
    <xf numFmtId="1" fontId="30" fillId="0" borderId="30" xfId="0" applyNumberFormat="1" applyFont="1" applyFill="1" applyBorder="1" applyAlignment="1">
      <alignment horizontal="left" vertical="top" indent="1" shrinkToFit="1"/>
    </xf>
    <xf numFmtId="0" fontId="0" fillId="0" borderId="37" xfId="0" applyFill="1" applyBorder="1" applyAlignment="1">
      <alignment horizontal="right" wrapText="1"/>
    </xf>
    <xf numFmtId="0" fontId="0" fillId="0" borderId="24" xfId="0" applyFill="1" applyBorder="1" applyAlignment="1">
      <alignment horizontal="right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1" fontId="30" fillId="0" borderId="29" xfId="0" applyNumberFormat="1" applyFont="1" applyFill="1" applyBorder="1" applyAlignment="1">
      <alignment horizontal="left" vertical="center" indent="1" shrinkToFit="1"/>
    </xf>
    <xf numFmtId="1" fontId="30" fillId="0" borderId="31" xfId="0" applyNumberFormat="1" applyFont="1" applyFill="1" applyBorder="1" applyAlignment="1">
      <alignment horizontal="left" vertical="center" indent="1" shrinkToFit="1"/>
    </xf>
    <xf numFmtId="1" fontId="30" fillId="0" borderId="30" xfId="0" applyNumberFormat="1" applyFont="1" applyFill="1" applyBorder="1" applyAlignment="1">
      <alignment horizontal="left" vertical="center" indent="1" shrinkToFit="1"/>
    </xf>
    <xf numFmtId="0" fontId="25" fillId="0" borderId="20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 horizontal="left" vertical="top" wrapText="1"/>
    </xf>
    <xf numFmtId="1" fontId="30" fillId="0" borderId="32" xfId="0" applyNumberFormat="1" applyFont="1" applyFill="1" applyBorder="1" applyAlignment="1">
      <alignment horizontal="left" indent="1" shrinkToFit="1"/>
    </xf>
    <xf numFmtId="1" fontId="30" fillId="0" borderId="33" xfId="0" applyNumberFormat="1" applyFont="1" applyFill="1" applyBorder="1" applyAlignment="1">
      <alignment horizontal="left" indent="1" shrinkToFit="1"/>
    </xf>
    <xf numFmtId="0" fontId="0" fillId="0" borderId="27" xfId="0" quotePrefix="1" applyFill="1" applyBorder="1" applyAlignment="1">
      <alignment horizontal="right" vertical="top" wrapText="1"/>
    </xf>
    <xf numFmtId="0" fontId="0" fillId="0" borderId="24" xfId="0" applyFill="1" applyBorder="1" applyAlignment="1">
      <alignment horizontal="right" vertical="top" wrapText="1"/>
    </xf>
    <xf numFmtId="0" fontId="36" fillId="0" borderId="24" xfId="0" applyFont="1" applyFill="1" applyBorder="1" applyAlignment="1">
      <alignment horizontal="left" vertical="top" wrapText="1" indent="1"/>
    </xf>
    <xf numFmtId="0" fontId="18" fillId="0" borderId="18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1" fontId="30" fillId="0" borderId="25" xfId="0" applyNumberFormat="1" applyFont="1" applyFill="1" applyBorder="1" applyAlignment="1">
      <alignment horizontal="left" vertical="top" indent="1" shrinkToFit="1"/>
    </xf>
    <xf numFmtId="1" fontId="30" fillId="0" borderId="26" xfId="0" applyNumberFormat="1" applyFont="1" applyFill="1" applyBorder="1" applyAlignment="1">
      <alignment horizontal="left" vertical="top" indent="1" shrinkToFit="1"/>
    </xf>
    <xf numFmtId="1" fontId="30" fillId="0" borderId="28" xfId="0" applyNumberFormat="1" applyFont="1" applyFill="1" applyBorder="1" applyAlignment="1">
      <alignment horizontal="left" vertical="top" indent="1" shrinkToFit="1"/>
    </xf>
    <xf numFmtId="0" fontId="25" fillId="0" borderId="33" xfId="0" applyFont="1" applyFill="1" applyBorder="1" applyAlignment="1">
      <alignment horizontal="left" vertical="top" wrapText="1"/>
    </xf>
    <xf numFmtId="0" fontId="25" fillId="0" borderId="34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right" wrapText="1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27" xfId="0" applyFill="1" applyBorder="1" applyAlignment="1" applyProtection="1">
      <alignment horizontal="right" wrapText="1"/>
      <protection locked="0"/>
    </xf>
    <xf numFmtId="0" fontId="0" fillId="0" borderId="31" xfId="0" applyFill="1" applyBorder="1" applyAlignment="1">
      <alignment horizontal="left" vertical="top" wrapText="1" indent="1"/>
    </xf>
    <xf numFmtId="0" fontId="0" fillId="0" borderId="30" xfId="0" applyFill="1" applyBorder="1" applyAlignment="1">
      <alignment horizontal="left" vertical="top" wrapText="1" indent="1"/>
    </xf>
    <xf numFmtId="0" fontId="0" fillId="0" borderId="29" xfId="0" applyFill="1" applyBorder="1" applyAlignment="1" applyProtection="1">
      <alignment horizontal="right" wrapText="1"/>
      <protection locked="0"/>
    </xf>
    <xf numFmtId="0" fontId="0" fillId="0" borderId="31" xfId="0" applyFill="1" applyBorder="1" applyAlignment="1" applyProtection="1">
      <alignment horizontal="right" wrapText="1"/>
      <protection locked="0"/>
    </xf>
    <xf numFmtId="0" fontId="0" fillId="0" borderId="30" xfId="0" applyFill="1" applyBorder="1" applyAlignment="1" applyProtection="1">
      <alignment horizontal="right" wrapText="1"/>
      <protection locked="0"/>
    </xf>
    <xf numFmtId="0" fontId="0" fillId="0" borderId="29" xfId="0" applyFill="1" applyBorder="1" applyAlignment="1">
      <alignment horizontal="right" wrapText="1"/>
    </xf>
    <xf numFmtId="0" fontId="0" fillId="0" borderId="30" xfId="0" applyFill="1" applyBorder="1" applyAlignment="1">
      <alignment horizontal="right" wrapText="1"/>
    </xf>
    <xf numFmtId="0" fontId="0" fillId="0" borderId="31" xfId="0" applyFill="1" applyBorder="1" applyAlignment="1">
      <alignment horizontal="right" wrapText="1"/>
    </xf>
    <xf numFmtId="0" fontId="0" fillId="0" borderId="24" xfId="0" applyFill="1" applyBorder="1" applyAlignment="1" applyProtection="1">
      <alignment horizontal="right" wrapText="1"/>
      <protection locked="0"/>
    </xf>
    <xf numFmtId="0" fontId="33" fillId="0" borderId="31" xfId="0" applyFont="1" applyFill="1" applyBorder="1" applyAlignment="1">
      <alignment horizontal="center" wrapText="1"/>
    </xf>
    <xf numFmtId="0" fontId="33" fillId="0" borderId="30" xfId="0" applyFont="1" applyFill="1" applyBorder="1" applyAlignment="1">
      <alignment horizontal="center" wrapText="1"/>
    </xf>
    <xf numFmtId="0" fontId="0" fillId="8" borderId="29" xfId="0" applyFill="1" applyBorder="1" applyAlignment="1">
      <alignment horizontal="center" wrapText="1"/>
    </xf>
    <xf numFmtId="0" fontId="0" fillId="8" borderId="31" xfId="0" applyFill="1" applyBorder="1" applyAlignment="1">
      <alignment horizontal="center" wrapText="1"/>
    </xf>
    <xf numFmtId="0" fontId="0" fillId="8" borderId="30" xfId="0" applyFill="1" applyBorder="1" applyAlignment="1">
      <alignment horizontal="center" wrapText="1"/>
    </xf>
    <xf numFmtId="0" fontId="10" fillId="8" borderId="2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27" xfId="0" applyFill="1" applyBorder="1" applyAlignment="1">
      <alignment horizontal="center" wrapText="1"/>
    </xf>
    <xf numFmtId="1" fontId="0" fillId="0" borderId="29" xfId="0" applyNumberFormat="1" applyFill="1" applyBorder="1" applyAlignment="1">
      <alignment horizontal="right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30" xfId="0" applyFont="1" applyFill="1" applyBorder="1" applyAlignment="1">
      <alignment horizontal="left" vertical="center" wrapText="1"/>
    </xf>
    <xf numFmtId="0" fontId="0" fillId="8" borderId="29" xfId="0" applyFill="1" applyBorder="1" applyAlignment="1">
      <alignment horizontal="left" vertical="center" wrapText="1"/>
    </xf>
    <xf numFmtId="0" fontId="0" fillId="8" borderId="31" xfId="0" applyFill="1" applyBorder="1" applyAlignment="1">
      <alignment horizontal="left" vertical="center" wrapText="1"/>
    </xf>
    <xf numFmtId="0" fontId="0" fillId="8" borderId="30" xfId="0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26" fillId="6" borderId="24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2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1" fontId="30" fillId="0" borderId="25" xfId="0" applyNumberFormat="1" applyFont="1" applyFill="1" applyBorder="1" applyAlignment="1">
      <alignment horizontal="center" vertical="center" shrinkToFit="1"/>
    </xf>
    <xf numFmtId="1" fontId="30" fillId="0" borderId="26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right" wrapText="1" indent="1"/>
    </xf>
    <xf numFmtId="0" fontId="0" fillId="0" borderId="27" xfId="0" applyFill="1" applyBorder="1" applyAlignment="1">
      <alignment horizontal="right" wrapText="1" inden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left" vertical="center" wrapText="1" indent="1"/>
    </xf>
    <xf numFmtId="0" fontId="33" fillId="0" borderId="33" xfId="0" applyFont="1" applyFill="1" applyBorder="1" applyAlignment="1">
      <alignment horizontal="left" vertical="center" wrapText="1" indent="1"/>
    </xf>
    <xf numFmtId="0" fontId="33" fillId="0" borderId="13" xfId="0" applyFont="1" applyFill="1" applyBorder="1" applyAlignment="1">
      <alignment horizontal="left" vertical="center" wrapText="1" indent="1"/>
    </xf>
    <xf numFmtId="0" fontId="33" fillId="0" borderId="0" xfId="0" applyFont="1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left" wrapText="1"/>
    </xf>
    <xf numFmtId="0" fontId="0" fillId="11" borderId="17" xfId="0" applyFill="1" applyBorder="1" applyAlignment="1">
      <alignment horizontal="center" wrapText="1"/>
    </xf>
    <xf numFmtId="0" fontId="0" fillId="11" borderId="18" xfId="0" applyFill="1" applyBorder="1" applyAlignment="1">
      <alignment horizontal="center" wrapText="1"/>
    </xf>
    <xf numFmtId="0" fontId="0" fillId="11" borderId="23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0" fillId="11" borderId="15" xfId="0" applyFill="1" applyBorder="1" applyAlignment="1">
      <alignment horizontal="center" wrapText="1"/>
    </xf>
    <xf numFmtId="0" fontId="0" fillId="11" borderId="20" xfId="0" applyFill="1" applyBorder="1" applyAlignment="1">
      <alignment horizontal="center" wrapText="1"/>
    </xf>
    <xf numFmtId="0" fontId="45" fillId="0" borderId="23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top" wrapText="1"/>
    </xf>
    <xf numFmtId="1" fontId="27" fillId="0" borderId="29" xfId="0" applyNumberFormat="1" applyFont="1" applyFill="1" applyBorder="1" applyAlignment="1">
      <alignment horizontal="center" shrinkToFit="1"/>
    </xf>
    <xf numFmtId="1" fontId="27" fillId="0" borderId="31" xfId="0" applyNumberFormat="1" applyFont="1" applyFill="1" applyBorder="1" applyAlignment="1">
      <alignment horizontal="center" shrinkToFit="1"/>
    </xf>
    <xf numFmtId="164" fontId="25" fillId="0" borderId="27" xfId="0" applyNumberFormat="1" applyFont="1" applyFill="1" applyBorder="1" applyAlignment="1">
      <alignment horizontal="right" wrapText="1"/>
    </xf>
    <xf numFmtId="0" fontId="25" fillId="0" borderId="24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left" wrapText="1"/>
    </xf>
    <xf numFmtId="1" fontId="27" fillId="0" borderId="32" xfId="0" applyNumberFormat="1" applyFont="1" applyFill="1" applyBorder="1" applyAlignment="1">
      <alignment horizontal="center" shrinkToFit="1"/>
    </xf>
    <xf numFmtId="1" fontId="27" fillId="0" borderId="33" xfId="0" applyNumberFormat="1" applyFont="1" applyFill="1" applyBorder="1" applyAlignment="1">
      <alignment horizontal="center" shrinkToFit="1"/>
    </xf>
    <xf numFmtId="1" fontId="27" fillId="0" borderId="25" xfId="0" applyNumberFormat="1" applyFont="1" applyFill="1" applyBorder="1" applyAlignment="1">
      <alignment horizontal="center" shrinkToFit="1"/>
    </xf>
    <xf numFmtId="1" fontId="27" fillId="0" borderId="26" xfId="0" applyNumberFormat="1" applyFont="1" applyFill="1" applyBorder="1" applyAlignment="1">
      <alignment horizontal="center" shrinkToFit="1"/>
    </xf>
    <xf numFmtId="0" fontId="25" fillId="0" borderId="17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right" wrapText="1"/>
    </xf>
    <xf numFmtId="0" fontId="25" fillId="0" borderId="15" xfId="0" applyFont="1" applyFill="1" applyBorder="1" applyAlignment="1">
      <alignment horizontal="right" wrapText="1"/>
    </xf>
    <xf numFmtId="0" fontId="25" fillId="0" borderId="20" xfId="0" applyFont="1" applyFill="1" applyBorder="1" applyAlignment="1">
      <alignment horizontal="right" wrapText="1"/>
    </xf>
    <xf numFmtId="0" fontId="25" fillId="0" borderId="2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25" fillId="0" borderId="27" xfId="0" applyFont="1" applyFill="1" applyBorder="1" applyAlignment="1" applyProtection="1">
      <alignment horizontal="right" wrapText="1"/>
      <protection locked="0"/>
    </xf>
    <xf numFmtId="0" fontId="25" fillId="0" borderId="24" xfId="0" applyFont="1" applyFill="1" applyBorder="1" applyAlignment="1" applyProtection="1">
      <alignment horizontal="right" wrapText="1"/>
      <protection locked="0"/>
    </xf>
    <xf numFmtId="0" fontId="25" fillId="0" borderId="0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center" wrapText="1"/>
    </xf>
    <xf numFmtId="164" fontId="25" fillId="0" borderId="25" xfId="0" applyNumberFormat="1" applyFont="1" applyFill="1" applyBorder="1" applyAlignment="1" applyProtection="1">
      <alignment horizontal="right" wrapText="1"/>
    </xf>
    <xf numFmtId="0" fontId="25" fillId="0" borderId="26" xfId="0" applyFont="1" applyFill="1" applyBorder="1" applyAlignment="1" applyProtection="1">
      <alignment horizontal="right" wrapText="1"/>
    </xf>
    <xf numFmtId="0" fontId="25" fillId="0" borderId="28" xfId="0" applyFont="1" applyFill="1" applyBorder="1" applyAlignment="1" applyProtection="1">
      <alignment horizontal="right" wrapText="1"/>
    </xf>
    <xf numFmtId="0" fontId="25" fillId="0" borderId="13" xfId="0" applyFont="1" applyFill="1" applyBorder="1" applyAlignment="1">
      <alignment horizontal="center" wrapText="1"/>
    </xf>
    <xf numFmtId="0" fontId="28" fillId="0" borderId="29" xfId="0" applyFont="1" applyFill="1" applyBorder="1" applyAlignment="1">
      <alignment horizontal="center" wrapText="1"/>
    </xf>
    <xf numFmtId="0" fontId="28" fillId="0" borderId="30" xfId="0" applyFont="1" applyFill="1" applyBorder="1" applyAlignment="1">
      <alignment horizontal="center" wrapText="1"/>
    </xf>
    <xf numFmtId="0" fontId="25" fillId="0" borderId="29" xfId="0" applyFont="1" applyFill="1" applyBorder="1" applyAlignment="1" applyProtection="1">
      <alignment horizontal="right" wrapText="1"/>
      <protection locked="0"/>
    </xf>
    <xf numFmtId="0" fontId="25" fillId="0" borderId="31" xfId="0" applyFont="1" applyFill="1" applyBorder="1" applyAlignment="1" applyProtection="1">
      <alignment horizontal="right" wrapText="1"/>
      <protection locked="0"/>
    </xf>
    <xf numFmtId="0" fontId="25" fillId="0" borderId="30" xfId="0" applyFont="1" applyFill="1" applyBorder="1" applyAlignment="1" applyProtection="1">
      <alignment horizontal="right" wrapText="1"/>
      <protection locked="0"/>
    </xf>
    <xf numFmtId="1" fontId="18" fillId="0" borderId="27" xfId="0" applyNumberFormat="1" applyFont="1" applyFill="1" applyBorder="1" applyAlignment="1">
      <alignment horizontal="right" wrapText="1"/>
    </xf>
    <xf numFmtId="0" fontId="18" fillId="0" borderId="24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164" fontId="0" fillId="0" borderId="16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2" fillId="0" borderId="0" xfId="0" applyFont="1" applyAlignment="1">
      <alignment horizontal="center"/>
    </xf>
    <xf numFmtId="0" fontId="44" fillId="5" borderId="0" xfId="0" applyFont="1" applyFill="1" applyBorder="1" applyAlignment="1">
      <alignment horizontal="center" vertical="top"/>
    </xf>
    <xf numFmtId="0" fontId="53" fillId="7" borderId="0" xfId="0" applyFont="1" applyFill="1" applyBorder="1" applyAlignment="1">
      <alignment horizontal="center" vertical="top"/>
    </xf>
    <xf numFmtId="0" fontId="52" fillId="0" borderId="15" xfId="0" applyFont="1" applyFill="1" applyBorder="1" applyAlignment="1" applyProtection="1">
      <alignment horizontal="center" vertical="top" wrapText="1"/>
      <protection locked="0"/>
    </xf>
    <xf numFmtId="0" fontId="52" fillId="0" borderId="20" xfId="0" applyFont="1" applyFill="1" applyBorder="1" applyAlignment="1" applyProtection="1">
      <alignment horizontal="center" vertical="top" wrapText="1"/>
      <protection locked="0"/>
    </xf>
    <xf numFmtId="167" fontId="52" fillId="0" borderId="15" xfId="0" applyNumberFormat="1" applyFont="1" applyFill="1" applyBorder="1" applyAlignment="1" applyProtection="1">
      <alignment horizontal="center" vertical="top" wrapText="1"/>
      <protection locked="0"/>
    </xf>
    <xf numFmtId="167" fontId="52" fillId="0" borderId="20" xfId="0" applyNumberFormat="1" applyFont="1" applyFill="1" applyBorder="1" applyAlignment="1" applyProtection="1">
      <alignment horizontal="center" vertical="top" wrapText="1"/>
      <protection locked="0"/>
    </xf>
    <xf numFmtId="167" fontId="5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left" vertical="top" wrapText="1"/>
    </xf>
    <xf numFmtId="0" fontId="53" fillId="7" borderId="0" xfId="0" applyFont="1" applyFill="1" applyBorder="1" applyAlignment="1">
      <alignment horizontal="center" vertical="top" wrapText="1"/>
    </xf>
    <xf numFmtId="0" fontId="38" fillId="12" borderId="0" xfId="0" applyFont="1" applyFill="1" applyAlignment="1">
      <alignment horizontal="center"/>
    </xf>
    <xf numFmtId="0" fontId="39" fillId="12" borderId="0" xfId="0" applyFont="1" applyFill="1"/>
    <xf numFmtId="0" fontId="38" fillId="12" borderId="0" xfId="0" applyFont="1" applyFill="1" applyAlignment="1">
      <alignment horizontal="left"/>
    </xf>
  </cellXfs>
  <cellStyles count="1">
    <cellStyle name="Normal" xfId="0" builtinId="0"/>
  </cellStyles>
  <dxfs count="3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400050</xdr:colOff>
      <xdr:row>7</xdr:row>
      <xdr:rowOff>38100</xdr:rowOff>
    </xdr:from>
    <xdr:to>
      <xdr:col>35</xdr:col>
      <xdr:colOff>400050</xdr:colOff>
      <xdr:row>9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496800" y="2009775"/>
          <a:ext cx="0" cy="45720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438150</xdr:colOff>
      <xdr:row>19</xdr:row>
      <xdr:rowOff>57150</xdr:rowOff>
    </xdr:from>
    <xdr:to>
      <xdr:col>33</xdr:col>
      <xdr:colOff>438150</xdr:colOff>
      <xdr:row>22</xdr:row>
      <xdr:rowOff>171450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296275" y="4162425"/>
          <a:ext cx="0" cy="65722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114301</xdr:colOff>
      <xdr:row>45</xdr:row>
      <xdr:rowOff>209550</xdr:rowOff>
    </xdr:from>
    <xdr:to>
      <xdr:col>33</xdr:col>
      <xdr:colOff>457200</xdr:colOff>
      <xdr:row>49</xdr:row>
      <xdr:rowOff>323850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7848601" y="10515600"/>
          <a:ext cx="466724" cy="125730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s.gov/Form896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53"/>
  <sheetViews>
    <sheetView tabSelected="1" zoomScaleNormal="100" zoomScaleSheetLayoutView="100" workbookViewId="0">
      <selection activeCell="AN20" sqref="AN20"/>
    </sheetView>
  </sheetViews>
  <sheetFormatPr defaultRowHeight="15"/>
  <cols>
    <col min="1" max="1" width="7.85546875" style="74" customWidth="1"/>
    <col min="2" max="2" width="2.42578125" style="74" customWidth="1"/>
    <col min="3" max="3" width="8" style="74" customWidth="1"/>
    <col min="4" max="4" width="4.7109375" style="74" customWidth="1"/>
    <col min="5" max="5" width="5" style="74" customWidth="1"/>
    <col min="6" max="6" width="4" style="74" customWidth="1"/>
    <col min="7" max="7" width="2.85546875" style="74" customWidth="1"/>
    <col min="8" max="8" width="6.7109375" style="74" customWidth="1"/>
    <col min="9" max="9" width="1" style="74" customWidth="1"/>
    <col min="10" max="10" width="2.85546875" style="74" customWidth="1"/>
    <col min="11" max="11" width="2" style="74" customWidth="1"/>
    <col min="12" max="12" width="2.85546875" style="74" customWidth="1"/>
    <col min="13" max="13" width="9.85546875" style="74" customWidth="1"/>
    <col min="14" max="14" width="4.28515625" style="74" customWidth="1"/>
    <col min="15" max="15" width="2" style="74" customWidth="1"/>
    <col min="16" max="16" width="2.85546875" style="74" customWidth="1"/>
    <col min="17" max="17" width="4" style="74" customWidth="1"/>
    <col min="18" max="18" width="1.140625" style="74" customWidth="1"/>
    <col min="19" max="19" width="2.140625" style="74" bestFit="1" customWidth="1"/>
    <col min="20" max="20" width="2" style="74" customWidth="1"/>
    <col min="21" max="21" width="1" style="74" customWidth="1"/>
    <col min="22" max="22" width="5" style="74" customWidth="1"/>
    <col min="23" max="23" width="4" style="74" customWidth="1"/>
    <col min="24" max="24" width="1" style="74" customWidth="1"/>
    <col min="25" max="25" width="6.28515625" style="74" customWidth="1"/>
    <col min="26" max="26" width="1.85546875" style="74" customWidth="1"/>
    <col min="27" max="27" width="1" style="74" customWidth="1"/>
    <col min="28" max="28" width="1.85546875" style="74" customWidth="1"/>
    <col min="29" max="30" width="2" style="74" customWidth="1"/>
    <col min="31" max="31" width="9.42578125" style="74" customWidth="1"/>
    <col min="32" max="32" width="2" style="74" customWidth="1"/>
    <col min="33" max="33" width="1.85546875" style="74" customWidth="1"/>
    <col min="34" max="34" width="49.5703125" style="74" customWidth="1"/>
    <col min="35" max="35" width="14" style="88" customWidth="1"/>
    <col min="36" max="36" width="13.28515625" style="88" customWidth="1"/>
    <col min="37" max="37" width="14.7109375" style="88" customWidth="1"/>
    <col min="38" max="16384" width="9.140625" style="74"/>
  </cols>
  <sheetData>
    <row r="1" spans="1:37" s="97" customFormat="1" ht="60" customHeight="1">
      <c r="A1" s="313" t="s">
        <v>206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H1" s="312" t="s">
        <v>205</v>
      </c>
      <c r="AI1" s="312"/>
      <c r="AJ1" s="312"/>
      <c r="AK1" s="98"/>
    </row>
    <row r="2" spans="1:37" ht="12.2" customHeight="1">
      <c r="A2" s="294" t="s">
        <v>0</v>
      </c>
      <c r="B2" s="294"/>
      <c r="C2" s="295"/>
      <c r="D2" s="296"/>
      <c r="E2" s="297" t="s">
        <v>1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8" t="s">
        <v>2</v>
      </c>
      <c r="AB2" s="298"/>
      <c r="AC2" s="298"/>
      <c r="AD2" s="298"/>
      <c r="AE2" s="298"/>
      <c r="AF2" s="299"/>
      <c r="AH2" s="316" t="s">
        <v>3</v>
      </c>
      <c r="AI2" s="316"/>
      <c r="AJ2" s="314"/>
      <c r="AK2" s="315"/>
    </row>
    <row r="3" spans="1:37" ht="54" customHeight="1">
      <c r="A3" s="295"/>
      <c r="B3" s="295"/>
      <c r="C3" s="295"/>
      <c r="D3" s="296"/>
      <c r="E3" s="297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300" t="s">
        <v>4</v>
      </c>
      <c r="AB3" s="300"/>
      <c r="AC3" s="300"/>
      <c r="AD3" s="300"/>
      <c r="AE3" s="300"/>
      <c r="AF3" s="301"/>
      <c r="AI3" s="86" t="s">
        <v>5</v>
      </c>
      <c r="AJ3" s="96"/>
      <c r="AK3" s="87" t="str">
        <f>IF(AJ3="YES", "Go to Line 1 and enter family size","Answer Next Question")</f>
        <v>Answer Next Question</v>
      </c>
    </row>
    <row r="4" spans="1:37" ht="12.75" customHeight="1">
      <c r="A4" s="302" t="s">
        <v>6</v>
      </c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5" t="s">
        <v>7</v>
      </c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7"/>
      <c r="AI4" s="86" t="s">
        <v>8</v>
      </c>
      <c r="AJ4" s="96"/>
      <c r="AK4" s="129" t="s">
        <v>9</v>
      </c>
    </row>
    <row r="5" spans="1:37" ht="15.75" customHeight="1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6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8"/>
      <c r="AH5" s="134" t="s">
        <v>10</v>
      </c>
      <c r="AI5" s="135"/>
      <c r="AJ5" s="138"/>
      <c r="AK5" s="129"/>
    </row>
    <row r="6" spans="1:37" s="75" customFormat="1" ht="18" customHeight="1">
      <c r="A6" s="289" t="s">
        <v>11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90"/>
      <c r="AC6" s="92" t="str">
        <f>IF($AJ$5="yes","X","")</f>
        <v/>
      </c>
      <c r="AD6" s="291"/>
      <c r="AE6" s="292"/>
      <c r="AF6" s="292"/>
      <c r="AH6" s="134"/>
      <c r="AI6" s="135"/>
      <c r="AJ6" s="139"/>
      <c r="AK6" s="129"/>
    </row>
    <row r="7" spans="1:37" ht="12.75" customHeight="1">
      <c r="A7" s="293" t="s">
        <v>12</v>
      </c>
      <c r="B7" s="293"/>
      <c r="C7" s="293"/>
      <c r="D7" s="202" t="s">
        <v>13</v>
      </c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H7" s="134"/>
      <c r="AI7" s="135"/>
      <c r="AJ7" s="140"/>
      <c r="AK7" s="129"/>
    </row>
    <row r="8" spans="1:37" s="76" customFormat="1" ht="13.5" customHeight="1">
      <c r="A8" s="308" t="s">
        <v>14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10"/>
      <c r="Z8" s="248">
        <v>1</v>
      </c>
      <c r="AA8" s="249"/>
      <c r="AB8" s="249"/>
      <c r="AC8" s="258"/>
      <c r="AD8" s="259"/>
      <c r="AE8" s="259"/>
      <c r="AF8" s="93"/>
      <c r="AG8" s="122"/>
      <c r="AH8" s="311"/>
      <c r="AI8" s="311"/>
      <c r="AJ8" s="122"/>
    </row>
    <row r="9" spans="1:37" s="76" customFormat="1" ht="13.5" customHeight="1">
      <c r="A9" s="260" t="s">
        <v>15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1"/>
      <c r="S9" s="262" t="s">
        <v>16</v>
      </c>
      <c r="T9" s="263"/>
      <c r="U9" s="264">
        <f>AJ17</f>
        <v>0</v>
      </c>
      <c r="V9" s="265"/>
      <c r="W9" s="265"/>
      <c r="X9" s="265"/>
      <c r="Y9" s="266"/>
      <c r="Z9" s="267"/>
      <c r="AA9" s="255"/>
      <c r="AB9" s="255"/>
      <c r="AC9" s="255"/>
      <c r="AD9" s="255"/>
      <c r="AE9" s="255"/>
      <c r="AF9" s="255"/>
      <c r="AG9" s="91"/>
      <c r="AH9" s="109" t="s">
        <v>17</v>
      </c>
      <c r="AI9" s="94"/>
      <c r="AJ9" s="122"/>
      <c r="AK9" s="122"/>
    </row>
    <row r="10" spans="1:37" s="76" customFormat="1" ht="15.75" customHeight="1">
      <c r="A10" s="260" t="s">
        <v>18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1"/>
      <c r="S10" s="268" t="s">
        <v>19</v>
      </c>
      <c r="T10" s="269"/>
      <c r="U10" s="270"/>
      <c r="V10" s="271"/>
      <c r="W10" s="271"/>
      <c r="X10" s="271"/>
      <c r="Y10" s="272"/>
      <c r="Z10" s="267"/>
      <c r="AA10" s="255"/>
      <c r="AB10" s="255"/>
      <c r="AC10" s="255"/>
      <c r="AD10" s="255"/>
      <c r="AE10" s="255"/>
      <c r="AF10" s="255"/>
      <c r="AG10" s="122"/>
      <c r="AH10" s="281" t="s">
        <v>20</v>
      </c>
      <c r="AI10" s="281"/>
      <c r="AJ10" s="281"/>
      <c r="AK10" s="122"/>
    </row>
    <row r="11" spans="1:37" s="76" customFormat="1" ht="13.5" customHeight="1">
      <c r="A11" s="122" t="s">
        <v>21</v>
      </c>
      <c r="B11" s="122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6"/>
      <c r="Z11" s="241">
        <v>3</v>
      </c>
      <c r="AA11" s="242"/>
      <c r="AB11" s="242"/>
      <c r="AC11" s="243">
        <f>$AJ$17+$U$10</f>
        <v>0</v>
      </c>
      <c r="AD11" s="244"/>
      <c r="AE11" s="244"/>
      <c r="AF11" s="244"/>
      <c r="AG11" s="122"/>
      <c r="AH11" s="279" t="s">
        <v>22</v>
      </c>
      <c r="AI11" s="280"/>
      <c r="AJ11" s="115"/>
      <c r="AK11" s="122"/>
    </row>
    <row r="12" spans="1:37" s="76" customFormat="1" ht="12.75" customHeight="1">
      <c r="A12" s="230" t="s">
        <v>23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45"/>
      <c r="Z12" s="246">
        <v>4</v>
      </c>
      <c r="AA12" s="247"/>
      <c r="AB12" s="247"/>
      <c r="AC12" s="250" t="e">
        <f>INDEX(tables!B3:B22,MATCH(AC8,tables!A3:A22,0))</f>
        <v>#N/A</v>
      </c>
      <c r="AD12" s="251"/>
      <c r="AE12" s="251"/>
      <c r="AF12" s="251"/>
      <c r="AG12" s="122"/>
      <c r="AH12" s="279" t="s">
        <v>24</v>
      </c>
      <c r="AI12" s="280"/>
      <c r="AJ12" s="115"/>
      <c r="AK12" s="122"/>
    </row>
    <row r="13" spans="1:37" s="76" customFormat="1" ht="15.75" customHeight="1">
      <c r="A13" s="122" t="s">
        <v>25</v>
      </c>
      <c r="B13" s="122"/>
      <c r="C13" s="121"/>
      <c r="D13" s="121"/>
      <c r="E13" s="121"/>
      <c r="F13" s="121"/>
      <c r="G13" s="121"/>
      <c r="H13" s="121"/>
      <c r="I13" s="121"/>
      <c r="J13" s="77" t="s">
        <v>26</v>
      </c>
      <c r="K13" s="112"/>
      <c r="L13" s="230" t="s">
        <v>27</v>
      </c>
      <c r="M13" s="230"/>
      <c r="N13" s="77" t="s">
        <v>28</v>
      </c>
      <c r="O13" s="112"/>
      <c r="P13" s="254" t="s">
        <v>29</v>
      </c>
      <c r="Q13" s="255"/>
      <c r="R13" s="121"/>
      <c r="S13" s="77" t="s">
        <v>30</v>
      </c>
      <c r="T13" s="112" t="s">
        <v>31</v>
      </c>
      <c r="U13" s="256" t="s">
        <v>32</v>
      </c>
      <c r="V13" s="256"/>
      <c r="W13" s="256"/>
      <c r="X13" s="256"/>
      <c r="Y13" s="257"/>
      <c r="Z13" s="248"/>
      <c r="AA13" s="249"/>
      <c r="AB13" s="249"/>
      <c r="AC13" s="252"/>
      <c r="AD13" s="253"/>
      <c r="AE13" s="253"/>
      <c r="AF13" s="253"/>
      <c r="AG13" s="122"/>
      <c r="AH13" s="275" t="s">
        <v>33</v>
      </c>
      <c r="AI13" s="276"/>
      <c r="AJ13" s="277"/>
      <c r="AK13" s="122"/>
    </row>
    <row r="14" spans="1:37" s="76" customFormat="1" ht="13.5" customHeight="1">
      <c r="A14" s="260" t="s">
        <v>34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1"/>
      <c r="Z14" s="246">
        <v>5</v>
      </c>
      <c r="AA14" s="247"/>
      <c r="AB14" s="247"/>
      <c r="AC14" s="273" t="e">
        <f>IF(tables!G5&gt;tables!G7,tables!G9,tables!G10)</f>
        <v>#N/A</v>
      </c>
      <c r="AD14" s="274"/>
      <c r="AE14" s="274"/>
      <c r="AF14" s="95" t="s">
        <v>35</v>
      </c>
      <c r="AG14" s="122"/>
      <c r="AH14" s="275"/>
      <c r="AI14" s="276"/>
      <c r="AJ14" s="278"/>
      <c r="AK14" s="122"/>
    </row>
    <row r="15" spans="1:37" s="76" customFormat="1" ht="12.75" customHeight="1">
      <c r="A15" s="230" t="s">
        <v>36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1"/>
      <c r="Z15" s="232"/>
      <c r="AA15" s="233"/>
      <c r="AB15" s="233"/>
      <c r="AC15" s="233"/>
      <c r="AD15" s="233"/>
      <c r="AE15" s="233"/>
      <c r="AF15" s="233"/>
      <c r="AG15" s="122"/>
      <c r="AH15" s="279" t="s">
        <v>37</v>
      </c>
      <c r="AI15" s="280"/>
      <c r="AJ15" s="115"/>
      <c r="AK15" s="122"/>
    </row>
    <row r="16" spans="1:37" s="79" customFormat="1">
      <c r="A16" s="78"/>
      <c r="B16" s="99" t="e">
        <f>IF(AC14=401,"","X")</f>
        <v>#N/A</v>
      </c>
      <c r="C16" s="238" t="s">
        <v>38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4"/>
      <c r="AA16" s="235"/>
      <c r="AB16" s="235"/>
      <c r="AC16" s="235"/>
      <c r="AD16" s="235"/>
      <c r="AE16" s="235"/>
      <c r="AF16" s="235"/>
      <c r="AH16" s="279" t="s">
        <v>39</v>
      </c>
      <c r="AI16" s="280"/>
      <c r="AJ16" s="115"/>
      <c r="AK16" s="89"/>
    </row>
    <row r="17" spans="1:37" s="79" customFormat="1" ht="11.25" customHeight="1" thickBot="1">
      <c r="A17" s="78"/>
      <c r="B17" s="100" t="e">
        <f>IF(AC14&gt;=401,"X","")</f>
        <v>#N/A</v>
      </c>
      <c r="C17" s="240" t="s">
        <v>40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34"/>
      <c r="AA17" s="235"/>
      <c r="AB17" s="235"/>
      <c r="AC17" s="235"/>
      <c r="AD17" s="235"/>
      <c r="AE17" s="235"/>
      <c r="AF17" s="235"/>
      <c r="AI17" s="4" t="s">
        <v>41</v>
      </c>
      <c r="AJ17" s="3">
        <f>SUM(AJ11:AJ15)-AJ16</f>
        <v>0</v>
      </c>
      <c r="AK17" s="89"/>
    </row>
    <row r="18" spans="1:37" s="79" customFormat="1">
      <c r="A18" s="78"/>
      <c r="B18" s="78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36"/>
      <c r="AA18" s="237"/>
      <c r="AB18" s="237"/>
      <c r="AC18" s="237"/>
      <c r="AD18" s="237"/>
      <c r="AE18" s="237"/>
      <c r="AF18" s="237"/>
      <c r="AI18" s="89"/>
      <c r="AJ18" s="89"/>
      <c r="AK18" s="89"/>
    </row>
    <row r="19" spans="1:37" ht="15.75" thickBot="1">
      <c r="A19" s="203" t="s">
        <v>42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206">
        <v>7</v>
      </c>
      <c r="AA19" s="207"/>
      <c r="AB19" s="207"/>
      <c r="AC19" s="208" t="e">
        <f>IF(AND(AJ4="yes",AJ5="no"),"",IF(AC14=401,"",IF(AC14&lt;133,'Applicable Figures'!E1,IF(AC14&gt;=300,'Applicable Figures'!E169,INDEX('Applicable Figures'!E1:E169,MATCH(_xlfn.FLOOR.MATH(AC14),'Applicable Figures'!D1:D169,0))))))</f>
        <v>#N/A</v>
      </c>
      <c r="AD19" s="208"/>
      <c r="AE19" s="208"/>
      <c r="AF19" s="209"/>
    </row>
    <row r="20" spans="1:37" ht="16.5" customHeight="1">
      <c r="A20" s="210" t="s">
        <v>43</v>
      </c>
      <c r="B20" s="211"/>
      <c r="C20" s="211"/>
      <c r="D20" s="211"/>
      <c r="E20" s="211"/>
      <c r="F20" s="211"/>
      <c r="G20" s="211"/>
      <c r="H20" s="212"/>
      <c r="I20" s="214"/>
      <c r="J20" s="215"/>
      <c r="K20" s="215"/>
      <c r="L20" s="215"/>
      <c r="M20" s="216"/>
      <c r="N20" s="217" t="s">
        <v>44</v>
      </c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5"/>
      <c r="Z20" s="219" t="s">
        <v>45</v>
      </c>
      <c r="AA20" s="220"/>
      <c r="AB20" s="220"/>
      <c r="AC20" s="223"/>
      <c r="AD20" s="224"/>
      <c r="AE20" s="224"/>
      <c r="AF20" s="224"/>
      <c r="AJ20" s="113" t="s">
        <v>46</v>
      </c>
    </row>
    <row r="21" spans="1:37" ht="13.5" customHeight="1" thickBot="1">
      <c r="A21" s="213"/>
      <c r="B21" s="213"/>
      <c r="C21" s="213"/>
      <c r="D21" s="211"/>
      <c r="E21" s="211"/>
      <c r="F21" s="211"/>
      <c r="G21" s="211"/>
      <c r="H21" s="212"/>
      <c r="I21" s="225" t="s">
        <v>47</v>
      </c>
      <c r="J21" s="226"/>
      <c r="K21" s="227" t="e">
        <f>IF(AND(AJ4="yes",AJ5="no"),"",IF(AC14=401,"",ROUND(AC11*AC19,0)))</f>
        <v>#N/A</v>
      </c>
      <c r="L21" s="228"/>
      <c r="M21" s="229"/>
      <c r="N21" s="218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21"/>
      <c r="AA21" s="222"/>
      <c r="AB21" s="222"/>
      <c r="AC21" s="198" t="e">
        <f>IF(AND(AJ4="yes",AJ5="no"),"",IF(AC14=401,"",ROUND(K21/12,0)))</f>
        <v>#N/A</v>
      </c>
      <c r="AD21" s="199"/>
      <c r="AE21" s="199"/>
      <c r="AF21" s="199"/>
      <c r="AJ21" s="114" t="s">
        <v>48</v>
      </c>
    </row>
    <row r="22" spans="1:37" ht="12.75" customHeight="1">
      <c r="A22" s="200" t="s">
        <v>49</v>
      </c>
      <c r="B22" s="200"/>
      <c r="C22" s="200"/>
      <c r="D22" s="201" t="s">
        <v>50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</row>
    <row r="23" spans="1:37" ht="16.5" customHeight="1">
      <c r="A23" s="131" t="s">
        <v>51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1:37" s="81" customFormat="1" ht="13.5" customHeight="1">
      <c r="A24" s="80"/>
      <c r="B24" s="108"/>
      <c r="C24" s="131" t="s">
        <v>52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20"/>
      <c r="T24" s="107" t="s">
        <v>31</v>
      </c>
      <c r="U24" s="132" t="s">
        <v>53</v>
      </c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20"/>
      <c r="AH24" s="282" t="s">
        <v>54</v>
      </c>
      <c r="AI24" s="282"/>
      <c r="AJ24" s="282"/>
    </row>
    <row r="25" spans="1:37" s="81" customFormat="1" ht="13.5" customHeight="1">
      <c r="A25" s="80"/>
      <c r="B25" s="82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20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20"/>
    </row>
    <row r="26" spans="1:37" ht="20.25" customHeight="1">
      <c r="A26" s="130" t="s">
        <v>55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20"/>
      <c r="AH26" s="10" t="s">
        <v>56</v>
      </c>
      <c r="AI26"/>
      <c r="AJ26" s="74"/>
      <c r="AK26" s="74"/>
    </row>
    <row r="27" spans="1:37" s="81" customFormat="1" ht="12.75" customHeight="1">
      <c r="A27" s="80"/>
      <c r="B27" s="106" t="str">
        <f>IF(AI30="CHECK yes","X","")</f>
        <v/>
      </c>
      <c r="C27" s="131" t="s">
        <v>57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3"/>
      <c r="T27" s="107" t="str">
        <f>IF(AI30="check no","X","")</f>
        <v/>
      </c>
      <c r="U27" s="131" t="s">
        <v>58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H27" s="101" t="s">
        <v>59</v>
      </c>
      <c r="AI27" s="110"/>
      <c r="AJ27" s="1" t="s">
        <v>60</v>
      </c>
    </row>
    <row r="28" spans="1:37" s="81" customFormat="1" ht="32.25" customHeight="1">
      <c r="A28" s="80"/>
      <c r="B28" s="82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3"/>
      <c r="T28" s="82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H28" s="101" t="s">
        <v>61</v>
      </c>
      <c r="AI28" s="110"/>
      <c r="AJ28" s="1" t="s">
        <v>60</v>
      </c>
    </row>
    <row r="29" spans="1:37" ht="51" customHeight="1">
      <c r="A29" s="187" t="s">
        <v>62</v>
      </c>
      <c r="B29" s="187"/>
      <c r="C29" s="188"/>
      <c r="D29" s="189" t="s">
        <v>63</v>
      </c>
      <c r="E29" s="190"/>
      <c r="F29" s="190"/>
      <c r="G29" s="191"/>
      <c r="H29" s="192" t="s">
        <v>64</v>
      </c>
      <c r="I29" s="193"/>
      <c r="J29" s="193"/>
      <c r="K29" s="193"/>
      <c r="L29" s="194"/>
      <c r="M29" s="192" t="s">
        <v>65</v>
      </c>
      <c r="N29" s="194"/>
      <c r="O29" s="189" t="s">
        <v>66</v>
      </c>
      <c r="P29" s="190"/>
      <c r="Q29" s="190"/>
      <c r="R29" s="190"/>
      <c r="S29" s="190"/>
      <c r="T29" s="190"/>
      <c r="U29" s="191"/>
      <c r="V29" s="195" t="s">
        <v>67</v>
      </c>
      <c r="W29" s="190"/>
      <c r="X29" s="190"/>
      <c r="Y29" s="190"/>
      <c r="Z29" s="190"/>
      <c r="AA29" s="190"/>
      <c r="AB29" s="196" t="s">
        <v>68</v>
      </c>
      <c r="AC29" s="196"/>
      <c r="AD29" s="196"/>
      <c r="AE29" s="196"/>
      <c r="AF29" s="197"/>
      <c r="AG29" s="83"/>
      <c r="AH29" s="101" t="s">
        <v>69</v>
      </c>
      <c r="AI29" s="110"/>
      <c r="AJ29" s="1" t="s">
        <v>60</v>
      </c>
      <c r="AK29" s="74"/>
    </row>
    <row r="30" spans="1:37" s="83" customFormat="1" ht="15.75" customHeight="1">
      <c r="A30" s="169" t="s">
        <v>70</v>
      </c>
      <c r="B30" s="169"/>
      <c r="C30" s="170"/>
      <c r="D30" s="171"/>
      <c r="E30" s="172"/>
      <c r="F30" s="172"/>
      <c r="G30" s="173"/>
      <c r="H30" s="171"/>
      <c r="I30" s="172"/>
      <c r="J30" s="172"/>
      <c r="K30" s="172"/>
      <c r="L30" s="173"/>
      <c r="M30" s="174" t="str">
        <f>IF(D30&gt;0,$K$21,"")</f>
        <v/>
      </c>
      <c r="N30" s="175"/>
      <c r="O30" s="186" t="str">
        <f>IF(D30="","",(IF(H30="","Look up!",(IF(H30&lt;M30,0,H30-M30)))))</f>
        <v/>
      </c>
      <c r="P30" s="176"/>
      <c r="Q30" s="176"/>
      <c r="R30" s="176"/>
      <c r="S30" s="176"/>
      <c r="T30" s="176"/>
      <c r="U30" s="175"/>
      <c r="V30" s="186" t="str">
        <f>IF(D30="","",(IF(H30="","Look up!",(IF(H30&lt;M30,0,(IF(D30&lt;O30,D30,O30)))))))</f>
        <v/>
      </c>
      <c r="W30" s="176"/>
      <c r="X30" s="176"/>
      <c r="Y30" s="176"/>
      <c r="Z30" s="176"/>
      <c r="AA30" s="176"/>
      <c r="AB30" s="167"/>
      <c r="AC30" s="167"/>
      <c r="AD30" s="167"/>
      <c r="AE30" s="167"/>
      <c r="AF30" s="168"/>
      <c r="AG30" s="74"/>
      <c r="AI30" s="118" t="str">
        <f>IF(AND(AI27="yes",AI28="yes",AI29="yes"),"ChECK YES",IF(OR(AI27="no",AI28="no",AI29="no"),"CHECK NO",""))</f>
        <v/>
      </c>
      <c r="AJ30" s="72"/>
    </row>
    <row r="31" spans="1:37" ht="57.75" customHeight="1">
      <c r="A31" s="178" t="s">
        <v>71</v>
      </c>
      <c r="B31" s="178"/>
      <c r="C31" s="179"/>
      <c r="D31" s="180" t="s">
        <v>72</v>
      </c>
      <c r="E31" s="181"/>
      <c r="F31" s="181"/>
      <c r="G31" s="182"/>
      <c r="H31" s="180" t="s">
        <v>73</v>
      </c>
      <c r="I31" s="181"/>
      <c r="J31" s="181"/>
      <c r="K31" s="181"/>
      <c r="L31" s="182"/>
      <c r="M31" s="183" t="s">
        <v>74</v>
      </c>
      <c r="N31" s="182"/>
      <c r="O31" s="180" t="s">
        <v>75</v>
      </c>
      <c r="P31" s="181"/>
      <c r="Q31" s="181"/>
      <c r="R31" s="181"/>
      <c r="S31" s="181"/>
      <c r="T31" s="181"/>
      <c r="U31" s="182"/>
      <c r="V31" s="180" t="s">
        <v>76</v>
      </c>
      <c r="W31" s="181"/>
      <c r="X31" s="181"/>
      <c r="Y31" s="181"/>
      <c r="Z31" s="181"/>
      <c r="AA31" s="181"/>
      <c r="AB31" s="184" t="s">
        <v>77</v>
      </c>
      <c r="AC31" s="184"/>
      <c r="AD31" s="184"/>
      <c r="AE31" s="184"/>
      <c r="AF31" s="185"/>
      <c r="AG31" s="84"/>
    </row>
    <row r="32" spans="1:37" s="84" customFormat="1">
      <c r="A32" s="169" t="s">
        <v>78</v>
      </c>
      <c r="B32" s="169"/>
      <c r="C32" s="170"/>
      <c r="D32" s="171"/>
      <c r="E32" s="172"/>
      <c r="F32" s="172"/>
      <c r="G32" s="173"/>
      <c r="H32" s="171"/>
      <c r="I32" s="172"/>
      <c r="J32" s="172"/>
      <c r="K32" s="172"/>
      <c r="L32" s="173"/>
      <c r="M32" s="174" t="str">
        <f>IF(D32&gt;0,$AC$21,"")</f>
        <v/>
      </c>
      <c r="N32" s="175"/>
      <c r="O32" s="174" t="str">
        <f>IF(D32="","",(IF(H32="","Look up!",(IF(H32&lt;M32,0,H32-M32)))))</f>
        <v/>
      </c>
      <c r="P32" s="176"/>
      <c r="Q32" s="176"/>
      <c r="R32" s="176"/>
      <c r="S32" s="176"/>
      <c r="T32" s="176"/>
      <c r="U32" s="175"/>
      <c r="V32" s="174" t="str">
        <f>IF(D32="","",(IF(H32="","Look up!",(IF(H32&lt;M32,0,(IF(D32&lt;O32,D32,O32)))))))</f>
        <v/>
      </c>
      <c r="W32" s="176"/>
      <c r="X32" s="176"/>
      <c r="Y32" s="176"/>
      <c r="Z32" s="176"/>
      <c r="AA32" s="176"/>
      <c r="AB32" s="167"/>
      <c r="AC32" s="167"/>
      <c r="AD32" s="167"/>
      <c r="AE32" s="167"/>
      <c r="AF32" s="168"/>
      <c r="AG32" s="74"/>
      <c r="AI32" s="90"/>
      <c r="AJ32" s="90"/>
      <c r="AK32" s="90"/>
    </row>
    <row r="33" spans="1:35" ht="15" customHeight="1">
      <c r="A33" s="169" t="s">
        <v>79</v>
      </c>
      <c r="B33" s="169"/>
      <c r="C33" s="170"/>
      <c r="D33" s="171"/>
      <c r="E33" s="172"/>
      <c r="F33" s="172"/>
      <c r="G33" s="173"/>
      <c r="H33" s="171"/>
      <c r="I33" s="172"/>
      <c r="J33" s="172"/>
      <c r="K33" s="172"/>
      <c r="L33" s="173"/>
      <c r="M33" s="174" t="str">
        <f t="shared" ref="M33:M43" si="0">IF(D33&gt;0,$AC$21,"")</f>
        <v/>
      </c>
      <c r="N33" s="175"/>
      <c r="O33" s="174" t="str">
        <f t="shared" ref="O33:O43" si="1">IF(D33="","",(IF(H33="","Look up!",(IF(H33&lt;M33,0,H33-M33)))))</f>
        <v/>
      </c>
      <c r="P33" s="176"/>
      <c r="Q33" s="176"/>
      <c r="R33" s="176"/>
      <c r="S33" s="176"/>
      <c r="T33" s="176"/>
      <c r="U33" s="175"/>
      <c r="V33" s="174" t="str">
        <f t="shared" ref="V33:V35" si="2">IF(D33="","",(IF(H33="","Look up!",(IF(H33&lt;M33,0,(IF(D33&lt;O33,D33,O33)))))))</f>
        <v/>
      </c>
      <c r="W33" s="176"/>
      <c r="X33" s="176"/>
      <c r="Y33" s="176"/>
      <c r="Z33" s="176"/>
      <c r="AA33" s="176"/>
      <c r="AB33" s="168"/>
      <c r="AC33" s="177"/>
      <c r="AD33" s="177"/>
      <c r="AE33" s="177"/>
      <c r="AF33" s="177"/>
      <c r="AH33" s="111" t="s">
        <v>80</v>
      </c>
    </row>
    <row r="34" spans="1:35" ht="15" customHeight="1">
      <c r="A34" s="169" t="s">
        <v>81</v>
      </c>
      <c r="B34" s="169"/>
      <c r="C34" s="170"/>
      <c r="D34" s="171"/>
      <c r="E34" s="172"/>
      <c r="F34" s="172"/>
      <c r="G34" s="173"/>
      <c r="H34" s="171"/>
      <c r="I34" s="172"/>
      <c r="J34" s="172"/>
      <c r="K34" s="172"/>
      <c r="L34" s="173"/>
      <c r="M34" s="174" t="str">
        <f t="shared" si="0"/>
        <v/>
      </c>
      <c r="N34" s="175"/>
      <c r="O34" s="174" t="str">
        <f t="shared" si="1"/>
        <v/>
      </c>
      <c r="P34" s="176"/>
      <c r="Q34" s="176"/>
      <c r="R34" s="176"/>
      <c r="S34" s="176"/>
      <c r="T34" s="176"/>
      <c r="U34" s="175"/>
      <c r="V34" s="174" t="str">
        <f t="shared" si="2"/>
        <v/>
      </c>
      <c r="W34" s="176"/>
      <c r="X34" s="176"/>
      <c r="Y34" s="176"/>
      <c r="Z34" s="176"/>
      <c r="AA34" s="176"/>
      <c r="AB34" s="167"/>
      <c r="AC34" s="167"/>
      <c r="AD34" s="167"/>
      <c r="AE34" s="167"/>
      <c r="AF34" s="168"/>
      <c r="AH34" s="111" t="s">
        <v>82</v>
      </c>
    </row>
    <row r="35" spans="1:35" ht="15" customHeight="1">
      <c r="A35" s="169" t="s">
        <v>83</v>
      </c>
      <c r="B35" s="169"/>
      <c r="C35" s="170"/>
      <c r="D35" s="171"/>
      <c r="E35" s="172"/>
      <c r="F35" s="172"/>
      <c r="G35" s="173"/>
      <c r="H35" s="171"/>
      <c r="I35" s="172"/>
      <c r="J35" s="172"/>
      <c r="K35" s="172"/>
      <c r="L35" s="173"/>
      <c r="M35" s="174" t="str">
        <f t="shared" si="0"/>
        <v/>
      </c>
      <c r="N35" s="175"/>
      <c r="O35" s="174" t="str">
        <f t="shared" si="1"/>
        <v/>
      </c>
      <c r="P35" s="176"/>
      <c r="Q35" s="176"/>
      <c r="R35" s="176"/>
      <c r="S35" s="176"/>
      <c r="T35" s="176"/>
      <c r="U35" s="175"/>
      <c r="V35" s="174" t="str">
        <f t="shared" si="2"/>
        <v/>
      </c>
      <c r="W35" s="176"/>
      <c r="X35" s="176"/>
      <c r="Y35" s="176"/>
      <c r="Z35" s="176"/>
      <c r="AA35" s="176"/>
      <c r="AB35" s="168"/>
      <c r="AC35" s="177"/>
      <c r="AD35" s="177"/>
      <c r="AE35" s="177"/>
      <c r="AF35" s="177"/>
      <c r="AH35" s="111" t="s">
        <v>84</v>
      </c>
    </row>
    <row r="36" spans="1:35" ht="15" customHeight="1">
      <c r="A36" s="169" t="s">
        <v>85</v>
      </c>
      <c r="B36" s="169"/>
      <c r="C36" s="170"/>
      <c r="D36" s="171"/>
      <c r="E36" s="172"/>
      <c r="F36" s="172"/>
      <c r="G36" s="173"/>
      <c r="H36" s="171"/>
      <c r="I36" s="172"/>
      <c r="J36" s="172"/>
      <c r="K36" s="172"/>
      <c r="L36" s="173"/>
      <c r="M36" s="174" t="str">
        <f t="shared" si="0"/>
        <v/>
      </c>
      <c r="N36" s="175"/>
      <c r="O36" s="174" t="str">
        <f t="shared" si="1"/>
        <v/>
      </c>
      <c r="P36" s="176"/>
      <c r="Q36" s="176"/>
      <c r="R36" s="176"/>
      <c r="S36" s="176"/>
      <c r="T36" s="176"/>
      <c r="U36" s="175"/>
      <c r="V36" s="174" t="str">
        <f t="shared" ref="V36:V43" si="3">IF(D36="","",(IF(H36="","Look up!",(IF(H36&lt;M36,0,(IF(D36&lt;O36,D36,O36)))))))</f>
        <v/>
      </c>
      <c r="W36" s="176"/>
      <c r="X36" s="176"/>
      <c r="Y36" s="176"/>
      <c r="Z36" s="176"/>
      <c r="AA36" s="176"/>
      <c r="AB36" s="167"/>
      <c r="AC36" s="167"/>
      <c r="AD36" s="167"/>
      <c r="AE36" s="167"/>
      <c r="AF36" s="168"/>
    </row>
    <row r="37" spans="1:35" ht="15" customHeight="1">
      <c r="A37" s="169" t="s">
        <v>86</v>
      </c>
      <c r="B37" s="169"/>
      <c r="C37" s="170"/>
      <c r="D37" s="171"/>
      <c r="E37" s="172"/>
      <c r="F37" s="172"/>
      <c r="G37" s="173"/>
      <c r="H37" s="171"/>
      <c r="I37" s="172"/>
      <c r="J37" s="172"/>
      <c r="K37" s="172"/>
      <c r="L37" s="173"/>
      <c r="M37" s="174" t="str">
        <f t="shared" si="0"/>
        <v/>
      </c>
      <c r="N37" s="175"/>
      <c r="O37" s="174" t="str">
        <f t="shared" si="1"/>
        <v/>
      </c>
      <c r="P37" s="176"/>
      <c r="Q37" s="176"/>
      <c r="R37" s="176"/>
      <c r="S37" s="176"/>
      <c r="T37" s="176"/>
      <c r="U37" s="175"/>
      <c r="V37" s="174" t="str">
        <f t="shared" si="3"/>
        <v/>
      </c>
      <c r="W37" s="176"/>
      <c r="X37" s="176"/>
      <c r="Y37" s="176"/>
      <c r="Z37" s="176"/>
      <c r="AA37" s="176"/>
      <c r="AB37" s="168"/>
      <c r="AC37" s="177"/>
      <c r="AD37" s="177"/>
      <c r="AE37" s="177"/>
      <c r="AF37" s="177"/>
      <c r="AH37" s="111" t="s">
        <v>200</v>
      </c>
    </row>
    <row r="38" spans="1:35" ht="15" customHeight="1">
      <c r="A38" s="169" t="s">
        <v>87</v>
      </c>
      <c r="B38" s="169"/>
      <c r="C38" s="170"/>
      <c r="D38" s="171"/>
      <c r="E38" s="172"/>
      <c r="F38" s="172"/>
      <c r="G38" s="173"/>
      <c r="H38" s="171"/>
      <c r="I38" s="172"/>
      <c r="J38" s="172"/>
      <c r="K38" s="172"/>
      <c r="L38" s="173"/>
      <c r="M38" s="174" t="str">
        <f t="shared" si="0"/>
        <v/>
      </c>
      <c r="N38" s="175"/>
      <c r="O38" s="174" t="str">
        <f t="shared" si="1"/>
        <v/>
      </c>
      <c r="P38" s="176"/>
      <c r="Q38" s="176"/>
      <c r="R38" s="176"/>
      <c r="S38" s="176"/>
      <c r="T38" s="176"/>
      <c r="U38" s="175"/>
      <c r="V38" s="174" t="str">
        <f t="shared" si="3"/>
        <v/>
      </c>
      <c r="W38" s="176"/>
      <c r="X38" s="176"/>
      <c r="Y38" s="176"/>
      <c r="Z38" s="176"/>
      <c r="AA38" s="176"/>
      <c r="AB38" s="167"/>
      <c r="AC38" s="167"/>
      <c r="AD38" s="167"/>
      <c r="AE38" s="167"/>
      <c r="AF38" s="168"/>
      <c r="AH38" s="111" t="s">
        <v>199</v>
      </c>
    </row>
    <row r="39" spans="1:35" ht="15" customHeight="1">
      <c r="A39" s="169" t="s">
        <v>88</v>
      </c>
      <c r="B39" s="169"/>
      <c r="C39" s="170"/>
      <c r="D39" s="171"/>
      <c r="E39" s="172"/>
      <c r="F39" s="172"/>
      <c r="G39" s="173"/>
      <c r="H39" s="171"/>
      <c r="I39" s="172"/>
      <c r="J39" s="172"/>
      <c r="K39" s="172"/>
      <c r="L39" s="173"/>
      <c r="M39" s="174" t="str">
        <f t="shared" si="0"/>
        <v/>
      </c>
      <c r="N39" s="175"/>
      <c r="O39" s="174" t="str">
        <f t="shared" si="1"/>
        <v/>
      </c>
      <c r="P39" s="176"/>
      <c r="Q39" s="176"/>
      <c r="R39" s="176"/>
      <c r="S39" s="176"/>
      <c r="T39" s="176"/>
      <c r="U39" s="175"/>
      <c r="V39" s="174" t="str">
        <f t="shared" si="3"/>
        <v/>
      </c>
      <c r="W39" s="176"/>
      <c r="X39" s="176"/>
      <c r="Y39" s="176"/>
      <c r="Z39" s="176"/>
      <c r="AA39" s="176"/>
      <c r="AB39" s="168"/>
      <c r="AC39" s="177"/>
      <c r="AD39" s="177"/>
      <c r="AE39" s="177"/>
      <c r="AF39" s="177"/>
      <c r="AH39" s="111" t="s">
        <v>201</v>
      </c>
    </row>
    <row r="40" spans="1:35" ht="15" customHeight="1">
      <c r="A40" s="169" t="s">
        <v>89</v>
      </c>
      <c r="B40" s="169"/>
      <c r="C40" s="170"/>
      <c r="D40" s="171"/>
      <c r="E40" s="172"/>
      <c r="F40" s="172"/>
      <c r="G40" s="173"/>
      <c r="H40" s="171"/>
      <c r="I40" s="172"/>
      <c r="J40" s="172"/>
      <c r="K40" s="172"/>
      <c r="L40" s="173"/>
      <c r="M40" s="174" t="str">
        <f t="shared" si="0"/>
        <v/>
      </c>
      <c r="N40" s="175"/>
      <c r="O40" s="174" t="str">
        <f t="shared" si="1"/>
        <v/>
      </c>
      <c r="P40" s="176"/>
      <c r="Q40" s="176"/>
      <c r="R40" s="176"/>
      <c r="S40" s="176"/>
      <c r="T40" s="176"/>
      <c r="U40" s="175"/>
      <c r="V40" s="174" t="str">
        <f t="shared" si="3"/>
        <v/>
      </c>
      <c r="W40" s="176"/>
      <c r="X40" s="176"/>
      <c r="Y40" s="176"/>
      <c r="Z40" s="176"/>
      <c r="AA40" s="176"/>
      <c r="AB40" s="167"/>
      <c r="AC40" s="167"/>
      <c r="AD40" s="167"/>
      <c r="AE40" s="167"/>
      <c r="AF40" s="168"/>
      <c r="AH40" s="128"/>
    </row>
    <row r="41" spans="1:35" ht="15" customHeight="1">
      <c r="A41" s="169" t="s">
        <v>90</v>
      </c>
      <c r="B41" s="169"/>
      <c r="C41" s="170"/>
      <c r="D41" s="171"/>
      <c r="E41" s="172"/>
      <c r="F41" s="172"/>
      <c r="G41" s="173"/>
      <c r="H41" s="171"/>
      <c r="I41" s="172"/>
      <c r="J41" s="172"/>
      <c r="K41" s="172"/>
      <c r="L41" s="173"/>
      <c r="M41" s="174" t="str">
        <f t="shared" si="0"/>
        <v/>
      </c>
      <c r="N41" s="175"/>
      <c r="O41" s="174" t="str">
        <f t="shared" si="1"/>
        <v/>
      </c>
      <c r="P41" s="176"/>
      <c r="Q41" s="176"/>
      <c r="R41" s="176"/>
      <c r="S41" s="176"/>
      <c r="T41" s="176"/>
      <c r="U41" s="175"/>
      <c r="V41" s="174" t="str">
        <f t="shared" si="3"/>
        <v/>
      </c>
      <c r="W41" s="176"/>
      <c r="X41" s="176"/>
      <c r="Y41" s="176"/>
      <c r="Z41" s="176"/>
      <c r="AA41" s="176"/>
      <c r="AB41" s="168"/>
      <c r="AC41" s="177"/>
      <c r="AD41" s="177"/>
      <c r="AE41" s="177"/>
      <c r="AF41" s="177"/>
      <c r="AH41" s="128"/>
    </row>
    <row r="42" spans="1:35" ht="15" customHeight="1">
      <c r="A42" s="169" t="s">
        <v>91</v>
      </c>
      <c r="B42" s="169"/>
      <c r="C42" s="170"/>
      <c r="D42" s="171"/>
      <c r="E42" s="172"/>
      <c r="F42" s="172"/>
      <c r="G42" s="173"/>
      <c r="H42" s="171"/>
      <c r="I42" s="172"/>
      <c r="J42" s="172"/>
      <c r="K42" s="172"/>
      <c r="L42" s="173"/>
      <c r="M42" s="174" t="str">
        <f t="shared" si="0"/>
        <v/>
      </c>
      <c r="N42" s="175"/>
      <c r="O42" s="174" t="str">
        <f t="shared" si="1"/>
        <v/>
      </c>
      <c r="P42" s="176"/>
      <c r="Q42" s="176"/>
      <c r="R42" s="176"/>
      <c r="S42" s="176"/>
      <c r="T42" s="176"/>
      <c r="U42" s="175"/>
      <c r="V42" s="174" t="str">
        <f t="shared" si="3"/>
        <v/>
      </c>
      <c r="W42" s="176"/>
      <c r="X42" s="176"/>
      <c r="Y42" s="176"/>
      <c r="Z42" s="176"/>
      <c r="AA42" s="176"/>
      <c r="AB42" s="167"/>
      <c r="AC42" s="167"/>
      <c r="AD42" s="167"/>
      <c r="AE42" s="167"/>
      <c r="AF42" s="168"/>
      <c r="AH42" s="128"/>
    </row>
    <row r="43" spans="1:35" ht="15" customHeight="1">
      <c r="A43" s="169" t="s">
        <v>92</v>
      </c>
      <c r="B43" s="169"/>
      <c r="C43" s="170"/>
      <c r="D43" s="171"/>
      <c r="E43" s="172"/>
      <c r="F43" s="172"/>
      <c r="G43" s="173"/>
      <c r="H43" s="171"/>
      <c r="I43" s="172"/>
      <c r="J43" s="172"/>
      <c r="K43" s="172"/>
      <c r="L43" s="173"/>
      <c r="M43" s="174" t="str">
        <f t="shared" si="0"/>
        <v/>
      </c>
      <c r="N43" s="175"/>
      <c r="O43" s="174" t="str">
        <f t="shared" si="1"/>
        <v/>
      </c>
      <c r="P43" s="176"/>
      <c r="Q43" s="176"/>
      <c r="R43" s="176"/>
      <c r="S43" s="176"/>
      <c r="T43" s="176"/>
      <c r="U43" s="175"/>
      <c r="V43" s="174" t="str">
        <f t="shared" si="3"/>
        <v/>
      </c>
      <c r="W43" s="176"/>
      <c r="X43" s="176"/>
      <c r="Y43" s="176"/>
      <c r="Z43" s="176"/>
      <c r="AA43" s="176"/>
      <c r="AB43" s="168"/>
      <c r="AC43" s="177"/>
      <c r="AD43" s="177"/>
      <c r="AE43" s="177"/>
      <c r="AF43" s="177"/>
    </row>
    <row r="44" spans="1:35">
      <c r="A44" s="164" t="s">
        <v>93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5"/>
      <c r="Z44" s="142">
        <v>24</v>
      </c>
      <c r="AA44" s="143"/>
      <c r="AB44" s="162"/>
      <c r="AC44" s="166" t="e">
        <f>IF(AND(AJ4="yes",AJ5="no"),0,IF(AC14=401,"",IF(T27="x",SUM(V32:AA43),V30)))</f>
        <v>#N/A</v>
      </c>
      <c r="AD44" s="146"/>
      <c r="AE44" s="146"/>
      <c r="AF44" s="146"/>
      <c r="AH44" s="63" t="s">
        <v>94</v>
      </c>
    </row>
    <row r="45" spans="1:35" ht="17.25" customHeight="1">
      <c r="A45" s="131" t="s">
        <v>95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41"/>
      <c r="Z45" s="142">
        <v>25</v>
      </c>
      <c r="AA45" s="143"/>
      <c r="AB45" s="143"/>
      <c r="AC45" s="166">
        <f>IF(T27="x",SUM(AB32:AF43),AB30)</f>
        <v>0</v>
      </c>
      <c r="AD45" s="146"/>
      <c r="AE45" s="146"/>
      <c r="AF45" s="146"/>
      <c r="AH45" s="63" t="s">
        <v>96</v>
      </c>
    </row>
    <row r="46" spans="1:35" ht="43.5" customHeight="1">
      <c r="A46" s="152" t="s">
        <v>97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3"/>
      <c r="Z46" s="154">
        <v>26</v>
      </c>
      <c r="AA46" s="155"/>
      <c r="AB46" s="155"/>
      <c r="AC46" s="156" t="e">
        <f>IF(AC14=401,"",IF(AC44&gt;=AC45,AC44-AC45,""))</f>
        <v>#N/A</v>
      </c>
      <c r="AD46" s="157"/>
      <c r="AE46" s="157"/>
      <c r="AF46" s="157"/>
      <c r="AH46" s="63" t="s">
        <v>98</v>
      </c>
    </row>
    <row r="47" spans="1:35" ht="13.5" customHeight="1" thickBot="1">
      <c r="A47" s="158" t="s">
        <v>99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85"/>
      <c r="AF47" s="85"/>
    </row>
    <row r="48" spans="1:35" ht="12.75" customHeight="1" thickBot="1">
      <c r="A48" s="159" t="s">
        <v>100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60"/>
      <c r="Z48" s="161">
        <v>27</v>
      </c>
      <c r="AA48" s="162"/>
      <c r="AB48" s="163"/>
      <c r="AC48" s="145" t="e">
        <f>IF(AC14=401,AC45,IF(AC44&lt;AC45,AC45-AC44,""))</f>
        <v>#N/A</v>
      </c>
      <c r="AD48" s="146"/>
      <c r="AE48" s="146"/>
      <c r="AF48" s="146"/>
      <c r="AH48" s="127" t="s">
        <v>101</v>
      </c>
      <c r="AI48" s="116" t="s">
        <v>31</v>
      </c>
    </row>
    <row r="49" spans="1:34" ht="17.25" customHeight="1">
      <c r="A49" s="131" t="s">
        <v>102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41"/>
      <c r="Z49" s="142">
        <v>28</v>
      </c>
      <c r="AA49" s="143"/>
      <c r="AB49" s="144"/>
      <c r="AC49" s="145" t="e">
        <f>IF(AC14=401,"",IF(AC44&gt;AC45,"",'REPayment Limitation'!I12))</f>
        <v>#N/A</v>
      </c>
      <c r="AD49" s="146"/>
      <c r="AE49" s="146"/>
      <c r="AF49" s="146"/>
      <c r="AH49" s="127" t="s">
        <v>103</v>
      </c>
    </row>
    <row r="50" spans="1:34" ht="27" customHeight="1" thickBot="1">
      <c r="A50" s="147" t="s">
        <v>104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8"/>
      <c r="Z50" s="149">
        <v>29</v>
      </c>
      <c r="AA50" s="150"/>
      <c r="AB50" s="151"/>
      <c r="AC50" s="145" t="e">
        <f>IF(AC48&lt;AC49,AC48,AC49)</f>
        <v>#N/A</v>
      </c>
      <c r="AD50" s="146"/>
      <c r="AE50" s="146"/>
      <c r="AF50" s="146"/>
      <c r="AH50" s="127" t="s">
        <v>105</v>
      </c>
    </row>
    <row r="51" spans="1:34" s="103" customFormat="1" ht="15.75" thickBot="1">
      <c r="A51" s="136" t="s">
        <v>106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17"/>
      <c r="AH51" s="74" t="s">
        <v>107</v>
      </c>
    </row>
    <row r="52" spans="1:34" s="81" customFormat="1" ht="18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102"/>
      <c r="AH52" s="103"/>
    </row>
    <row r="53" spans="1:34">
      <c r="AH53" s="81"/>
    </row>
  </sheetData>
  <sheetProtection algorithmName="SHA-512" hashValue="4fxFaVy1plA9Pf+Gp2Tcx/9g8QLtS8r91ourrXIMf1UQ9OixtKkbCsUy8gg8so/ltIy57TzGb0v8mrbWV5POxA==" saltValue="NUIJAokpFFZ7eJ9pOwcxTA==" spinCount="100000" sheet="1" objects="1" scenarios="1"/>
  <mergeCells count="198">
    <mergeCell ref="AH8:AI8"/>
    <mergeCell ref="AH1:AJ1"/>
    <mergeCell ref="AH2:AI2"/>
    <mergeCell ref="AH13:AI14"/>
    <mergeCell ref="AJ13:AJ14"/>
    <mergeCell ref="AH11:AI11"/>
    <mergeCell ref="AH12:AI12"/>
    <mergeCell ref="AH15:AI15"/>
    <mergeCell ref="AH16:AI16"/>
    <mergeCell ref="AH10:AJ10"/>
    <mergeCell ref="AH24:AJ24"/>
    <mergeCell ref="A1:AF1"/>
    <mergeCell ref="A5:Q5"/>
    <mergeCell ref="R5:AF5"/>
    <mergeCell ref="A6:AB6"/>
    <mergeCell ref="AD6:AF6"/>
    <mergeCell ref="A7:C7"/>
    <mergeCell ref="D7:AF7"/>
    <mergeCell ref="A2:D3"/>
    <mergeCell ref="E2:Z3"/>
    <mergeCell ref="AA2:AF2"/>
    <mergeCell ref="AA3:AF3"/>
    <mergeCell ref="A4:Q4"/>
    <mergeCell ref="R4:AF4"/>
    <mergeCell ref="A8:Y8"/>
    <mergeCell ref="Z8:AB8"/>
    <mergeCell ref="AC8:AE8"/>
    <mergeCell ref="A9:R9"/>
    <mergeCell ref="S9:T9"/>
    <mergeCell ref="U9:Y9"/>
    <mergeCell ref="Z9:AF10"/>
    <mergeCell ref="A10:R10"/>
    <mergeCell ref="S10:T10"/>
    <mergeCell ref="U10:Y10"/>
    <mergeCell ref="A14:Y14"/>
    <mergeCell ref="Z14:AB14"/>
    <mergeCell ref="AC14:AE14"/>
    <mergeCell ref="A15:Y15"/>
    <mergeCell ref="Z15:AF18"/>
    <mergeCell ref="C16:Y16"/>
    <mergeCell ref="C17:Y18"/>
    <mergeCell ref="Z11:AB11"/>
    <mergeCell ref="AC11:AF11"/>
    <mergeCell ref="A12:Y12"/>
    <mergeCell ref="Z12:AB13"/>
    <mergeCell ref="AC12:AF13"/>
    <mergeCell ref="L13:M13"/>
    <mergeCell ref="P13:Q13"/>
    <mergeCell ref="U13:Y13"/>
    <mergeCell ref="A19:Y19"/>
    <mergeCell ref="Z19:AB19"/>
    <mergeCell ref="AC19:AF19"/>
    <mergeCell ref="A20:H21"/>
    <mergeCell ref="I20:M20"/>
    <mergeCell ref="N20:Y21"/>
    <mergeCell ref="Z20:AB21"/>
    <mergeCell ref="AC20:AF20"/>
    <mergeCell ref="I21:J21"/>
    <mergeCell ref="K21:M21"/>
    <mergeCell ref="A29:C29"/>
    <mergeCell ref="D29:G29"/>
    <mergeCell ref="H29:L29"/>
    <mergeCell ref="M29:N29"/>
    <mergeCell ref="O29:U29"/>
    <mergeCell ref="V29:AA29"/>
    <mergeCell ref="AB29:AF29"/>
    <mergeCell ref="AC21:AF21"/>
    <mergeCell ref="A22:C22"/>
    <mergeCell ref="D22:AF22"/>
    <mergeCell ref="A23:AF23"/>
    <mergeCell ref="C27:R28"/>
    <mergeCell ref="S27:S28"/>
    <mergeCell ref="U27:AF28"/>
    <mergeCell ref="AB30:AF30"/>
    <mergeCell ref="A31:C31"/>
    <mergeCell ref="D31:G31"/>
    <mergeCell ref="H31:L31"/>
    <mergeCell ref="M31:N31"/>
    <mergeCell ref="O31:U31"/>
    <mergeCell ref="V31:AA31"/>
    <mergeCell ref="AB31:AF31"/>
    <mergeCell ref="A30:C30"/>
    <mergeCell ref="D30:G30"/>
    <mergeCell ref="H30:L30"/>
    <mergeCell ref="M30:N30"/>
    <mergeCell ref="O30:U30"/>
    <mergeCell ref="V30:AA30"/>
    <mergeCell ref="AB32:AF32"/>
    <mergeCell ref="A33:C33"/>
    <mergeCell ref="D33:G33"/>
    <mergeCell ref="H33:L33"/>
    <mergeCell ref="M33:N33"/>
    <mergeCell ref="O33:U33"/>
    <mergeCell ref="V33:AA33"/>
    <mergeCell ref="AB33:AF33"/>
    <mergeCell ref="A32:C32"/>
    <mergeCell ref="D32:G32"/>
    <mergeCell ref="H32:L32"/>
    <mergeCell ref="M32:N32"/>
    <mergeCell ref="O32:U32"/>
    <mergeCell ref="V32:AA32"/>
    <mergeCell ref="AB34:AF34"/>
    <mergeCell ref="A35:C35"/>
    <mergeCell ref="D35:G35"/>
    <mergeCell ref="H35:L35"/>
    <mergeCell ref="M35:N35"/>
    <mergeCell ref="O35:U35"/>
    <mergeCell ref="V35:AA35"/>
    <mergeCell ref="AB35:AF35"/>
    <mergeCell ref="A34:C34"/>
    <mergeCell ref="D34:G34"/>
    <mergeCell ref="H34:L34"/>
    <mergeCell ref="M34:N34"/>
    <mergeCell ref="O34:U34"/>
    <mergeCell ref="V34:AA34"/>
    <mergeCell ref="AB36:AF36"/>
    <mergeCell ref="A37:C37"/>
    <mergeCell ref="D37:G37"/>
    <mergeCell ref="H37:L37"/>
    <mergeCell ref="M37:N37"/>
    <mergeCell ref="O37:U37"/>
    <mergeCell ref="V37:AA37"/>
    <mergeCell ref="AB37:AF37"/>
    <mergeCell ref="A36:C36"/>
    <mergeCell ref="D36:G36"/>
    <mergeCell ref="H36:L36"/>
    <mergeCell ref="M36:N36"/>
    <mergeCell ref="O36:U36"/>
    <mergeCell ref="V36:AA36"/>
    <mergeCell ref="AB38:AF38"/>
    <mergeCell ref="A39:C39"/>
    <mergeCell ref="D39:G39"/>
    <mergeCell ref="H39:L39"/>
    <mergeCell ref="M39:N39"/>
    <mergeCell ref="O39:U39"/>
    <mergeCell ref="V39:AA39"/>
    <mergeCell ref="AB39:AF39"/>
    <mergeCell ref="A38:C38"/>
    <mergeCell ref="D38:G38"/>
    <mergeCell ref="H38:L38"/>
    <mergeCell ref="M38:N38"/>
    <mergeCell ref="O38:U38"/>
    <mergeCell ref="V38:AA38"/>
    <mergeCell ref="AB40:AF40"/>
    <mergeCell ref="A41:C41"/>
    <mergeCell ref="D41:G41"/>
    <mergeCell ref="H41:L41"/>
    <mergeCell ref="M41:N41"/>
    <mergeCell ref="O41:U41"/>
    <mergeCell ref="V41:AA41"/>
    <mergeCell ref="AB41:AF41"/>
    <mergeCell ref="A40:C40"/>
    <mergeCell ref="D40:G40"/>
    <mergeCell ref="H40:L40"/>
    <mergeCell ref="M40:N40"/>
    <mergeCell ref="O40:U40"/>
    <mergeCell ref="V40:AA40"/>
    <mergeCell ref="A45:Y45"/>
    <mergeCell ref="Z45:AB45"/>
    <mergeCell ref="AC45:AF45"/>
    <mergeCell ref="AB42:AF42"/>
    <mergeCell ref="A43:C43"/>
    <mergeCell ref="D43:G43"/>
    <mergeCell ref="H43:L43"/>
    <mergeCell ref="M43:N43"/>
    <mergeCell ref="O43:U43"/>
    <mergeCell ref="V43:AA43"/>
    <mergeCell ref="AB43:AF43"/>
    <mergeCell ref="A42:C42"/>
    <mergeCell ref="D42:G42"/>
    <mergeCell ref="H42:L42"/>
    <mergeCell ref="M42:N42"/>
    <mergeCell ref="O42:U42"/>
    <mergeCell ref="V42:AA42"/>
    <mergeCell ref="AK4:AK7"/>
    <mergeCell ref="A26:AE26"/>
    <mergeCell ref="C24:R25"/>
    <mergeCell ref="U24:AE24"/>
    <mergeCell ref="T25:AE25"/>
    <mergeCell ref="AH5:AI7"/>
    <mergeCell ref="A51:AF51"/>
    <mergeCell ref="AJ5:AJ7"/>
    <mergeCell ref="A49:Y49"/>
    <mergeCell ref="Z49:AB49"/>
    <mergeCell ref="AC49:AF49"/>
    <mergeCell ref="A50:Y50"/>
    <mergeCell ref="Z50:AB50"/>
    <mergeCell ref="AC50:AF50"/>
    <mergeCell ref="A46:Y46"/>
    <mergeCell ref="Z46:AB46"/>
    <mergeCell ref="AC46:AF46"/>
    <mergeCell ref="A47:AD47"/>
    <mergeCell ref="A48:Y48"/>
    <mergeCell ref="Z48:AB48"/>
    <mergeCell ref="AC48:AF48"/>
    <mergeCell ref="A44:Y44"/>
    <mergeCell ref="Z44:AB44"/>
    <mergeCell ref="AC44:AF44"/>
  </mergeCells>
  <conditionalFormatting sqref="AJ4:AJ5">
    <cfRule type="expression" dxfId="31" priority="56">
      <formula>$AJ$3="yes"</formula>
    </cfRule>
  </conditionalFormatting>
  <conditionalFormatting sqref="AJ5">
    <cfRule type="expression" dxfId="30" priority="55">
      <formula>$AJ$4="no"</formula>
    </cfRule>
  </conditionalFormatting>
  <conditionalFormatting sqref="AF43">
    <cfRule type="expression" dxfId="29" priority="51">
      <formula>"(OR('Form 8962'!$B$25&gt;=401,'Form 8962'!$B$4=""NO"",'Form 8962'!$B$40=""CHECK NO"")"</formula>
    </cfRule>
  </conditionalFormatting>
  <conditionalFormatting sqref="D30:G30">
    <cfRule type="expression" dxfId="28" priority="49">
      <formula>IF(AND(B3="yes",B4="no"),"leave blank",IF(B40="check no","LEAVE BLANK",B31))+$A$30</formula>
    </cfRule>
  </conditionalFormatting>
  <conditionalFormatting sqref="AC8:AE8">
    <cfRule type="expression" dxfId="27" priority="41">
      <formula>$AC$8=""</formula>
    </cfRule>
  </conditionalFormatting>
  <conditionalFormatting sqref="A5:AF5 U10:Y10">
    <cfRule type="expression" dxfId="26" priority="40">
      <formula>""</formula>
    </cfRule>
  </conditionalFormatting>
  <conditionalFormatting sqref="A5:Q5">
    <cfRule type="expression" dxfId="25" priority="39">
      <formula>$A$5=""</formula>
    </cfRule>
  </conditionalFormatting>
  <conditionalFormatting sqref="R5:AF5">
    <cfRule type="expression" dxfId="24" priority="38">
      <formula>$R$5=""</formula>
    </cfRule>
  </conditionalFormatting>
  <conditionalFormatting sqref="U10:Y10">
    <cfRule type="expression" dxfId="23" priority="37">
      <formula>$U$10=""</formula>
    </cfRule>
  </conditionalFormatting>
  <conditionalFormatting sqref="D32:G32 D34:G34 D36:G36 D38:G38 D40:G40 D42:G42">
    <cfRule type="expression" dxfId="22" priority="31">
      <formula>$D$32=""</formula>
    </cfRule>
  </conditionalFormatting>
  <conditionalFormatting sqref="AJ11:AJ13 AJ15:AJ16 D32:L43">
    <cfRule type="containsBlanks" dxfId="21" priority="30">
      <formula>LEN(TRIM(D11))=0</formula>
    </cfRule>
  </conditionalFormatting>
  <conditionalFormatting sqref="AB32:AF43">
    <cfRule type="containsBlanks" dxfId="20" priority="29">
      <formula>LEN(TRIM(AB32))=0</formula>
    </cfRule>
  </conditionalFormatting>
  <conditionalFormatting sqref="D30:L30 AB30:AF30">
    <cfRule type="containsBlanks" dxfId="19" priority="28">
      <formula>LEN(TRIM(D30))=0</formula>
    </cfRule>
  </conditionalFormatting>
  <conditionalFormatting sqref="D30:AF30">
    <cfRule type="expression" dxfId="18" priority="20">
      <formula>$B$27=""</formula>
    </cfRule>
  </conditionalFormatting>
  <conditionalFormatting sqref="D32:AF43">
    <cfRule type="expression" dxfId="17" priority="19">
      <formula>$T$27=""</formula>
    </cfRule>
  </conditionalFormatting>
  <conditionalFormatting sqref="D32:AA43">
    <cfRule type="expression" dxfId="16" priority="18">
      <formula>AND($T$27&lt;&gt;"",OR($AJ$5="NO",$AC$14&gt;=400))</formula>
    </cfRule>
  </conditionalFormatting>
  <conditionalFormatting sqref="D30:AA30">
    <cfRule type="expression" dxfId="15" priority="15">
      <formula>AND($B$27&lt;&gt;"",OR($AJ$5="NO",$AC$14&gt;=400))</formula>
    </cfRule>
  </conditionalFormatting>
  <conditionalFormatting sqref="AJ5:AJ7">
    <cfRule type="expression" dxfId="14" priority="12">
      <formula>OR($AJ$4="",$AJ$4="no")</formula>
    </cfRule>
    <cfRule type="expression" dxfId="13" priority="13">
      <formula>$AJ$4="no"</formula>
    </cfRule>
  </conditionalFormatting>
  <conditionalFormatting sqref="A2:AF14 A30:AF30 A29:C29 A31:C31 A19:AF28 A15:Y18 A32:AF51">
    <cfRule type="expression" dxfId="12" priority="11">
      <formula>$AG$51="X"</formula>
    </cfRule>
  </conditionalFormatting>
  <conditionalFormatting sqref="AJ4">
    <cfRule type="expression" dxfId="11" priority="9">
      <formula>$AJ$3=""</formula>
    </cfRule>
  </conditionalFormatting>
  <conditionalFormatting sqref="AI28">
    <cfRule type="expression" dxfId="10" priority="7">
      <formula>$AI$27="no"</formula>
    </cfRule>
  </conditionalFormatting>
  <conditionalFormatting sqref="AI29">
    <cfRule type="expression" dxfId="9" priority="3">
      <formula>OR($AI$27="no",$AI$28="no")</formula>
    </cfRule>
  </conditionalFormatting>
  <dataValidations count="4">
    <dataValidation type="list" showInputMessage="1" showErrorMessage="1" prompt="Type Yes or No" sqref="AJ3">
      <formula1>$AJ$20:$AJ$21</formula1>
    </dataValidation>
    <dataValidation type="list" allowBlank="1" showInputMessage="1" showErrorMessage="1" sqref="AJ4:AJ7">
      <formula1>$AJ$20:$AJ$21</formula1>
    </dataValidation>
    <dataValidation type="list" showInputMessage="1" showErrorMessage="1" sqref="AI27:AI29">
      <formula1>$AJ$20:$AJ$21</formula1>
    </dataValidation>
    <dataValidation type="list" allowBlank="1" showInputMessage="1" showErrorMessage="1" sqref="AG51">
      <formula1>$AI$48</formula1>
    </dataValidation>
  </dataValidations>
  <hyperlinks>
    <hyperlink ref="E2" r:id="rId1" display="http://www.irs.gov/Form8962"/>
  </hyperlinks>
  <pageMargins left="0.2" right="0.2" top="0.1" bottom="0.1" header="0" footer="0"/>
  <pageSetup scale="87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" id="{76A9ABCF-D814-419A-A748-CEA5F019AE99}">
            <xm:f>AND('Form 8962'!$B$25&lt;401,'Form 8962'!$B$4&lt;&gt;"NO",'Form 8962'!$B$40="CHECK YES")</xm:f>
            <x14:dxf>
              <font>
                <strike val="0"/>
              </font>
              <fill>
                <patternFill>
                  <bgColor theme="8" tint="0.79998168889431442"/>
                </patternFill>
              </fill>
            </x14:dxf>
          </x14:cfRule>
          <xm:sqref>D30:L30 AB30</xm:sqref>
        </x14:conditionalFormatting>
        <x14:conditionalFormatting xmlns:xm="http://schemas.microsoft.com/office/excel/2006/main">
          <x14:cfRule type="expression" priority="47" id="{FE3ACD7D-9BA4-4675-84ED-944971EDF656}">
            <xm:f>IF(AND('Form 8962'!B40="CHECK NO"),AJ5="NO")</xm:f>
            <x14:dxf>
              <fill>
                <patternFill>
                  <bgColor theme="0"/>
                </patternFill>
              </fill>
            </x14:dxf>
          </x14:cfRule>
          <xm:sqref>M30:N30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A1:H74"/>
  <sheetViews>
    <sheetView topLeftCell="A55" workbookViewId="0">
      <selection activeCell="B70" sqref="B70"/>
    </sheetView>
  </sheetViews>
  <sheetFormatPr defaultRowHeight="15"/>
  <cols>
    <col min="1" max="1" width="66.42578125" customWidth="1"/>
    <col min="2" max="2" width="14.42578125" customWidth="1"/>
    <col min="3" max="3" width="14" customWidth="1"/>
    <col min="4" max="4" width="14.85546875" customWidth="1"/>
    <col min="5" max="5" width="12.7109375" bestFit="1" customWidth="1"/>
    <col min="6" max="7" width="14.140625" customWidth="1"/>
    <col min="8" max="8" width="21.5703125" customWidth="1"/>
  </cols>
  <sheetData>
    <row r="1" spans="1:5">
      <c r="A1" s="69" t="s">
        <v>108</v>
      </c>
      <c r="B1" s="69"/>
    </row>
    <row r="2" spans="1:5">
      <c r="A2" s="44" t="s">
        <v>109</v>
      </c>
      <c r="B2" s="64" t="s">
        <v>198</v>
      </c>
      <c r="C2" s="49" t="str">
        <f>IF(B2="YES", "Go to Line 1","Answer Next Question")</f>
        <v>Answer Next Question</v>
      </c>
    </row>
    <row r="3" spans="1:5">
      <c r="A3" s="44" t="s">
        <v>110</v>
      </c>
      <c r="B3" s="64">
        <f>'Printable Form'!AJ4</f>
        <v>0</v>
      </c>
      <c r="C3" s="49" t="str">
        <f>IF(B3="Yes", "Answer Next Question","")</f>
        <v/>
      </c>
    </row>
    <row r="4" spans="1:5" ht="81" customHeight="1">
      <c r="A4" s="45" t="s">
        <v>111</v>
      </c>
      <c r="B4" s="64" t="s">
        <v>197</v>
      </c>
      <c r="C4" s="49" t="s">
        <v>112</v>
      </c>
      <c r="E4" s="63" t="s">
        <v>113</v>
      </c>
    </row>
    <row r="6" spans="1:5">
      <c r="E6" t="s">
        <v>202</v>
      </c>
    </row>
    <row r="7" spans="1:5">
      <c r="A7" s="4" t="s">
        <v>114</v>
      </c>
      <c r="B7" s="64">
        <f>'Printable Form'!AC8</f>
        <v>0</v>
      </c>
    </row>
    <row r="8" spans="1:5">
      <c r="C8" s="5"/>
      <c r="E8" t="s">
        <v>203</v>
      </c>
    </row>
    <row r="9" spans="1:5">
      <c r="A9" s="124" t="s">
        <v>20</v>
      </c>
      <c r="B9" s="52"/>
    </row>
    <row r="10" spans="1:5">
      <c r="A10" t="s">
        <v>22</v>
      </c>
      <c r="B10" s="65">
        <f>'Printable Form'!AJ11</f>
        <v>0</v>
      </c>
    </row>
    <row r="11" spans="1:5">
      <c r="A11" t="s">
        <v>24</v>
      </c>
      <c r="B11" s="65">
        <f>'Printable Form'!AJ12</f>
        <v>0</v>
      </c>
    </row>
    <row r="12" spans="1:5" ht="26.25" customHeight="1">
      <c r="A12" s="6" t="s">
        <v>115</v>
      </c>
      <c r="B12" s="65">
        <f>'Printable Form'!AJ13</f>
        <v>0</v>
      </c>
    </row>
    <row r="13" spans="1:5">
      <c r="A13" t="s">
        <v>37</v>
      </c>
      <c r="B13" s="65">
        <f>'Printable Form'!AJ15</f>
        <v>0</v>
      </c>
    </row>
    <row r="14" spans="1:5">
      <c r="A14" t="s">
        <v>39</v>
      </c>
      <c r="B14" s="65">
        <f>'Printable Form'!AJ16</f>
        <v>0</v>
      </c>
    </row>
    <row r="15" spans="1:5" ht="15.75" thickBot="1">
      <c r="A15" s="4" t="s">
        <v>41</v>
      </c>
      <c r="B15" s="3">
        <f>SUM(B10:B13)-B14</f>
        <v>0</v>
      </c>
    </row>
    <row r="17" spans="1:3">
      <c r="A17" s="124" t="s">
        <v>116</v>
      </c>
    </row>
    <row r="18" spans="1:3" ht="45">
      <c r="A18" s="6" t="s">
        <v>117</v>
      </c>
      <c r="B18" s="64">
        <f>'Printable Form'!U10</f>
        <v>0</v>
      </c>
    </row>
    <row r="20" spans="1:3">
      <c r="A20" s="124" t="s">
        <v>118</v>
      </c>
      <c r="B20" s="7">
        <f>SUM(B15+B18)</f>
        <v>0</v>
      </c>
    </row>
    <row r="22" spans="1:3">
      <c r="A22" s="124" t="s">
        <v>119</v>
      </c>
      <c r="B22" s="7" t="e">
        <f>INDEX(tables!B3:B22,MATCH('Form 8962'!B7,tables!A3:A22,0))</f>
        <v>#N/A</v>
      </c>
    </row>
    <row r="23" spans="1:3">
      <c r="A23" t="s">
        <v>120</v>
      </c>
    </row>
    <row r="25" spans="1:3">
      <c r="A25" s="124" t="s">
        <v>121</v>
      </c>
      <c r="B25" s="18" t="e">
        <f>IF(tables!G5&gt;tables!G7,tables!G9,tables!G10)</f>
        <v>#N/A</v>
      </c>
      <c r="C25" t="s">
        <v>35</v>
      </c>
    </row>
    <row r="27" spans="1:3">
      <c r="A27" s="124" t="s">
        <v>122</v>
      </c>
      <c r="B27" s="13" t="e">
        <f>IF(AND(B3="yes",B4="no"),"leave blank",IF(B25=401,"CHECK YES","CHECK NO"))</f>
        <v>#N/A</v>
      </c>
    </row>
    <row r="29" spans="1:3">
      <c r="A29" s="124" t="s">
        <v>123</v>
      </c>
      <c r="B29" s="13" t="e">
        <f>IF(AND(B3="yes",B4="no"),"",IF(B25=401,"",IF(B25&lt;133,'Applicable Figures'!E1,IF(B25&gt;=300,'Applicable Figures'!E169,INDEX('Applicable Figures'!E1:E169,MATCH(_xlfn.FLOOR.MATH(B25),'Applicable Figures'!D1:D169,0))))))</f>
        <v>#N/A</v>
      </c>
    </row>
    <row r="30" spans="1:3">
      <c r="B30" s="21"/>
    </row>
    <row r="31" spans="1:3">
      <c r="A31" s="25" t="s">
        <v>124</v>
      </c>
      <c r="B31" s="27" t="e">
        <f>IF(AND(B3="yes",B4="no"),"leave blank",IF(B25=401,"LEAVE BLANK",ROUND(B29*B20,0)))</f>
        <v>#N/A</v>
      </c>
      <c r="C31" s="24"/>
    </row>
    <row r="32" spans="1:3">
      <c r="A32" s="25" t="s">
        <v>125</v>
      </c>
      <c r="B32" s="27" t="e">
        <f>IF(AND(B3="yes",B4="no"),"",IF(B25=401,"",ROUND(B31/12,0)))</f>
        <v>#N/A</v>
      </c>
      <c r="C32" s="23"/>
    </row>
    <row r="34" spans="1:8">
      <c r="A34" s="22" t="s">
        <v>126</v>
      </c>
      <c r="B34" s="26" t="s">
        <v>127</v>
      </c>
    </row>
    <row r="35" spans="1:8">
      <c r="A35" s="22"/>
      <c r="B35" s="26"/>
    </row>
    <row r="36" spans="1:8">
      <c r="A36" s="10" t="s">
        <v>56</v>
      </c>
      <c r="B36" s="22"/>
    </row>
    <row r="37" spans="1:8">
      <c r="A37" s="29" t="s">
        <v>59</v>
      </c>
      <c r="B37" s="67">
        <f>'Printable Form'!AI27</f>
        <v>0</v>
      </c>
      <c r="C37" t="s">
        <v>60</v>
      </c>
    </row>
    <row r="38" spans="1:8">
      <c r="A38" s="29" t="s">
        <v>61</v>
      </c>
      <c r="B38" s="67">
        <f>'Printable Form'!AI28</f>
        <v>0</v>
      </c>
      <c r="C38" t="s">
        <v>60</v>
      </c>
      <c r="E38" s="63" t="s">
        <v>128</v>
      </c>
    </row>
    <row r="39" spans="1:8">
      <c r="A39" s="29" t="s">
        <v>69</v>
      </c>
      <c r="B39" s="68">
        <f>'Printable Form'!AI29</f>
        <v>0</v>
      </c>
      <c r="C39" t="s">
        <v>60</v>
      </c>
    </row>
    <row r="40" spans="1:8">
      <c r="A40" s="4" t="s">
        <v>129</v>
      </c>
      <c r="B40" s="71" t="str">
        <f>IF(AND(B37="yes",B38="yes",B39="yes"),"ChECK YES",IF(OR(B37=0,B38=0,B39=0),"","CHECK NO"))</f>
        <v/>
      </c>
      <c r="C40" s="72" t="str">
        <f>IF(B40="CHECK YES", "Complete the Annual Calculation Section--DO NOT COMPLETE THE MONTHLY CALCUALTION SECTION", "SKIP THE ANNUAL CALCUATION SECTION AND GO TO MONTHLY CALCULATIONS")</f>
        <v>SKIP THE ANNUAL CALCUATION SECTION AND GO TO MONTHLY CALCULATIONS</v>
      </c>
      <c r="D40" s="72"/>
      <c r="E40" s="49"/>
      <c r="F40" s="49"/>
      <c r="G40" s="49"/>
    </row>
    <row r="41" spans="1:8" ht="15.75" thickBot="1"/>
    <row r="42" spans="1:8">
      <c r="A42" s="31" t="s">
        <v>130</v>
      </c>
      <c r="B42" s="32"/>
      <c r="C42" s="32"/>
      <c r="D42" s="32"/>
      <c r="E42" s="32"/>
      <c r="F42" s="32"/>
      <c r="G42" s="32"/>
      <c r="H42" s="33"/>
    </row>
    <row r="43" spans="1:8">
      <c r="A43" s="34" t="s">
        <v>131</v>
      </c>
      <c r="B43" s="1" t="s">
        <v>132</v>
      </c>
      <c r="C43" s="1" t="s">
        <v>133</v>
      </c>
      <c r="D43" s="1" t="s">
        <v>134</v>
      </c>
      <c r="E43" s="1" t="s">
        <v>135</v>
      </c>
      <c r="F43" s="1" t="s">
        <v>136</v>
      </c>
      <c r="G43" s="1" t="s">
        <v>137</v>
      </c>
      <c r="H43" s="35"/>
    </row>
    <row r="44" spans="1:8" s="30" customFormat="1" ht="86.25" customHeight="1">
      <c r="A44" s="50" t="s">
        <v>138</v>
      </c>
      <c r="B44" s="58" t="str">
        <f>IF($B$40="CHECK YES","Enter the amount from Form 1095A Line 33A","SKIP THIS SECTION")</f>
        <v>SKIP THIS SECTION</v>
      </c>
      <c r="C44" s="58" t="str">
        <f>IF($B$40="CHECK YES","Enter the amount from Form 1095A Line 33B","SKIP THIS SECTION")</f>
        <v>SKIP THIS SECTION</v>
      </c>
      <c r="D44" s="58" t="str">
        <f>IF($B$40="CHECK YES","Annual Contribution Amount","SKIP THIS SECTION")</f>
        <v>SKIP THIS SECTION</v>
      </c>
      <c r="E44" s="59" t="str">
        <f>IF($B$40="CHECK YES","(d) Annual maximum premium assistance (subtract (c) from (b), if zero or less, enter -0-)","SKIP THIS SECTION")</f>
        <v>SKIP THIS SECTION</v>
      </c>
      <c r="F44" s="58" t="str">
        <f>IF($B$40="CHECK YES","Smaller of A or D","SKIP THIS SECTION")</f>
        <v>SKIP THIS SECTION</v>
      </c>
      <c r="G44" s="58" t="str">
        <f>IF($B$40="CHECK YES","Enter the amount from Form 1095A Line 33C","SKIP THIS SECTION")</f>
        <v>SKIP THIS SECTION</v>
      </c>
      <c r="H44" s="38"/>
    </row>
    <row r="45" spans="1:8" ht="54" customHeight="1" thickBot="1">
      <c r="A45" s="51" t="s">
        <v>139</v>
      </c>
      <c r="B45" s="66">
        <f>'Printable Form'!D30</f>
        <v>0</v>
      </c>
      <c r="C45" s="66">
        <f>'Printable Form'!H30</f>
        <v>0</v>
      </c>
      <c r="D45" s="56" t="e">
        <f>IF(AND(B3="yes",B4="no"),"",IF('Printable Form'!T27="x","",B31))</f>
        <v>#N/A</v>
      </c>
      <c r="E45" s="57" t="e">
        <f>IF(AND(B3="yes",B4="no"),"",IF(B25=401,"",IF('Printable Form'!T27="x","",IF(C45-D45&lt;0,0,ROUND(C45-D45,0)))))</f>
        <v>#N/A</v>
      </c>
      <c r="F45" s="57" t="e">
        <f>IF(AND(B3="yes",B4="no"),"",IF(B25=401,"",IF('Printable Form'!T27="x","",IF(B45&lt;E45,B45,E45))))</f>
        <v>#N/A</v>
      </c>
      <c r="G45" s="66">
        <f>'Printable Form'!AB30</f>
        <v>0</v>
      </c>
      <c r="H45" s="60" t="s">
        <v>140</v>
      </c>
    </row>
    <row r="46" spans="1:8" s="52" customFormat="1" ht="54" customHeight="1">
      <c r="B46" s="53"/>
      <c r="C46" s="53"/>
      <c r="D46" s="54"/>
      <c r="E46" s="55"/>
      <c r="F46" s="55"/>
      <c r="G46" s="53"/>
      <c r="H46" s="28"/>
    </row>
    <row r="47" spans="1:8">
      <c r="A47" s="22" t="s">
        <v>141</v>
      </c>
      <c r="B47" s="5" t="s">
        <v>132</v>
      </c>
      <c r="C47" s="5" t="s">
        <v>133</v>
      </c>
      <c r="D47" s="5" t="s">
        <v>134</v>
      </c>
      <c r="E47" s="5" t="s">
        <v>135</v>
      </c>
      <c r="F47" s="5" t="s">
        <v>136</v>
      </c>
      <c r="G47" s="5" t="s">
        <v>137</v>
      </c>
    </row>
    <row r="48" spans="1:8" ht="80.25" thickBot="1">
      <c r="A48" s="48" t="s">
        <v>138</v>
      </c>
      <c r="B48" s="36" t="s">
        <v>142</v>
      </c>
      <c r="C48" s="36" t="s">
        <v>143</v>
      </c>
      <c r="D48" s="36" t="s">
        <v>144</v>
      </c>
      <c r="E48" s="37" t="s">
        <v>145</v>
      </c>
      <c r="F48" s="36" t="s">
        <v>146</v>
      </c>
      <c r="G48" s="36" t="s">
        <v>147</v>
      </c>
    </row>
    <row r="49" spans="1:8">
      <c r="A49" s="41">
        <v>43477</v>
      </c>
      <c r="B49" s="104" t="str">
        <f>IF('Printable Form'!D32&gt;0,'Printable Form'!D32,"")</f>
        <v/>
      </c>
      <c r="C49" s="104" t="str">
        <f>IF('Printable Form'!H32&gt;0,'Printable Form'!H32,"")</f>
        <v/>
      </c>
      <c r="D49" s="105" t="str">
        <f t="shared" ref="D49:D51" si="0">IF(B49="","",$B$32)</f>
        <v/>
      </c>
      <c r="E49" s="39" t="e">
        <f>IF(AND($B$3="yes",$B$4="no"),"",IF($B$25=401,"",IF($B$40="check yes","",(IF(B49="","",(IF(C49="","Look up!",(IF(C49&lt;D49,0,ROUND(C49-D49,0))))))))))</f>
        <v>#N/A</v>
      </c>
      <c r="F49" s="39" t="e">
        <f>IF(AND($B$3="yes",$B$4="no"),"",IF($B$25=401,"",IF($B$40="check yes","",IF(B49&lt;E49,B49,E49))))</f>
        <v>#N/A</v>
      </c>
      <c r="G49" s="64">
        <f>'Printable Form'!AB32</f>
        <v>0</v>
      </c>
      <c r="H49" s="63" t="s">
        <v>148</v>
      </c>
    </row>
    <row r="50" spans="1:8">
      <c r="A50" s="41">
        <v>43509</v>
      </c>
      <c r="B50" s="104" t="str">
        <f>IF('Printable Form'!D33&gt;0,'Printable Form'!D33,"")</f>
        <v/>
      </c>
      <c r="C50" s="104" t="str">
        <f>IF('Printable Form'!H33&gt;0,'Printable Form'!H33,"")</f>
        <v/>
      </c>
      <c r="D50" s="105" t="str">
        <f t="shared" si="0"/>
        <v/>
      </c>
      <c r="E50" s="39" t="e">
        <f t="shared" ref="E50:E60" si="1">IF(AND($B$3="yes",$B$4="no"),"",IF($B$25=401,"",IF($B$40="check yes","",(IF(B50="","",(IF(C50="","Look up!",(IF(C50&lt;D50,0,ROUND(C50-D50,0))))))))))</f>
        <v>#N/A</v>
      </c>
      <c r="F50" s="39" t="e">
        <f t="shared" ref="F50:F60" si="2">IF(AND($B$3="yes",$B$4="no"),"",IF($B$25=401,"",IF($B$40="check yes","",IF(B50&lt;E50,B50,E50))))</f>
        <v>#N/A</v>
      </c>
      <c r="G50" s="64">
        <f>'Printable Form'!AB33</f>
        <v>0</v>
      </c>
      <c r="H50" s="63" t="s">
        <v>149</v>
      </c>
    </row>
    <row r="51" spans="1:8">
      <c r="A51" s="41">
        <v>43538</v>
      </c>
      <c r="B51" s="104" t="str">
        <f>IF('Printable Form'!D34&gt;0,'Printable Form'!D34,"")</f>
        <v/>
      </c>
      <c r="C51" s="104" t="str">
        <f>IF('Printable Form'!H34&gt;0,'Printable Form'!H34,"")</f>
        <v/>
      </c>
      <c r="D51" s="105" t="str">
        <f t="shared" si="0"/>
        <v/>
      </c>
      <c r="E51" s="39" t="e">
        <f t="shared" si="1"/>
        <v>#N/A</v>
      </c>
      <c r="F51" s="39" t="e">
        <f t="shared" si="2"/>
        <v>#N/A</v>
      </c>
      <c r="G51" s="64">
        <f>'Printable Form'!AB34</f>
        <v>0</v>
      </c>
      <c r="H51" s="63" t="s">
        <v>150</v>
      </c>
    </row>
    <row r="52" spans="1:8">
      <c r="A52" s="41">
        <v>43570</v>
      </c>
      <c r="B52" s="104" t="str">
        <f>IF('Printable Form'!D35&gt;0,'Printable Form'!D35,"")</f>
        <v/>
      </c>
      <c r="C52" s="104" t="str">
        <f>IF('Printable Form'!H35&gt;0,'Printable Form'!H35,"")</f>
        <v/>
      </c>
      <c r="D52" s="105" t="str">
        <f>IF(B52="","",$B$32)</f>
        <v/>
      </c>
      <c r="E52" s="39" t="e">
        <f t="shared" si="1"/>
        <v>#N/A</v>
      </c>
      <c r="F52" s="39" t="e">
        <f t="shared" si="2"/>
        <v>#N/A</v>
      </c>
      <c r="G52" s="64">
        <f>'Printable Form'!AB35</f>
        <v>0</v>
      </c>
      <c r="H52" s="63" t="s">
        <v>151</v>
      </c>
    </row>
    <row r="53" spans="1:8">
      <c r="A53" s="41">
        <v>43601</v>
      </c>
      <c r="B53" s="104" t="str">
        <f>IF('Printable Form'!D36&gt;0,'Printable Form'!D36,"")</f>
        <v/>
      </c>
      <c r="C53" s="104" t="str">
        <f>IF('Printable Form'!H36&gt;0,'Printable Form'!H36,"")</f>
        <v/>
      </c>
      <c r="D53" s="105" t="str">
        <f t="shared" ref="D53:D60" si="3">IF(B53="","",$B$32)</f>
        <v/>
      </c>
      <c r="E53" s="39" t="e">
        <f t="shared" si="1"/>
        <v>#N/A</v>
      </c>
      <c r="F53" s="39" t="e">
        <f t="shared" si="2"/>
        <v>#N/A</v>
      </c>
      <c r="G53" s="64">
        <f>'Printable Form'!AB36</f>
        <v>0</v>
      </c>
      <c r="H53" s="63" t="s">
        <v>152</v>
      </c>
    </row>
    <row r="54" spans="1:8">
      <c r="A54" s="41">
        <v>43633</v>
      </c>
      <c r="B54" s="104" t="str">
        <f>IF('Printable Form'!D37&gt;0,'Printable Form'!D37,"")</f>
        <v/>
      </c>
      <c r="C54" s="104" t="str">
        <f>IF('Printable Form'!H37&gt;0,'Printable Form'!H37,"")</f>
        <v/>
      </c>
      <c r="D54" s="105" t="str">
        <f t="shared" si="3"/>
        <v/>
      </c>
      <c r="E54" s="39" t="e">
        <f t="shared" si="1"/>
        <v>#N/A</v>
      </c>
      <c r="F54" s="39" t="e">
        <f t="shared" si="2"/>
        <v>#N/A</v>
      </c>
      <c r="G54" s="64">
        <f>'Printable Form'!AB37</f>
        <v>0</v>
      </c>
      <c r="H54" s="63" t="s">
        <v>153</v>
      </c>
    </row>
    <row r="55" spans="1:8">
      <c r="A55" s="41">
        <v>43664</v>
      </c>
      <c r="B55" s="104" t="str">
        <f>IF('Printable Form'!D38&gt;0,'Printable Form'!D38,"")</f>
        <v/>
      </c>
      <c r="C55" s="104" t="str">
        <f>IF('Printable Form'!H38&gt;0,'Printable Form'!H38,"")</f>
        <v/>
      </c>
      <c r="D55" s="105" t="str">
        <f t="shared" si="3"/>
        <v/>
      </c>
      <c r="E55" s="39" t="e">
        <f t="shared" si="1"/>
        <v>#N/A</v>
      </c>
      <c r="F55" s="39" t="e">
        <f t="shared" si="2"/>
        <v>#N/A</v>
      </c>
      <c r="G55" s="64">
        <f>'Printable Form'!AB38</f>
        <v>0</v>
      </c>
      <c r="H55" s="63"/>
    </row>
    <row r="56" spans="1:8">
      <c r="A56" s="41">
        <v>43696</v>
      </c>
      <c r="B56" s="104" t="str">
        <f>IF('Printable Form'!D39&gt;0,'Printable Form'!D39,"")</f>
        <v/>
      </c>
      <c r="C56" s="104" t="str">
        <f>IF('Printable Form'!H39&gt;0,'Printable Form'!H39,"")</f>
        <v/>
      </c>
      <c r="D56" s="105" t="str">
        <f t="shared" si="3"/>
        <v/>
      </c>
      <c r="E56" s="39" t="e">
        <f t="shared" si="1"/>
        <v>#N/A</v>
      </c>
      <c r="F56" s="39" t="e">
        <f t="shared" si="2"/>
        <v>#N/A</v>
      </c>
      <c r="G56" s="64">
        <f>'Printable Form'!AB39</f>
        <v>0</v>
      </c>
      <c r="H56" s="63"/>
    </row>
    <row r="57" spans="1:8">
      <c r="A57" s="41">
        <v>43728</v>
      </c>
      <c r="B57" s="104" t="str">
        <f>IF('Printable Form'!D40&gt;0,'Printable Form'!D40,"")</f>
        <v/>
      </c>
      <c r="C57" s="104" t="str">
        <f>IF('Printable Form'!H40&gt;0,'Printable Form'!H40,"")</f>
        <v/>
      </c>
      <c r="D57" s="105" t="str">
        <f t="shared" si="3"/>
        <v/>
      </c>
      <c r="E57" s="39" t="e">
        <f>IF(AND($B$3="yes",$B$4="no"),"",IF($B$25=401,"",IF($B$40="check yes","",(IF(B57="","",(IF(C57="","Look up!",(IF(C57&lt;D57,0,ROUND(C57-D57,0))))))))))</f>
        <v>#N/A</v>
      </c>
      <c r="F57" s="39" t="e">
        <f t="shared" si="2"/>
        <v>#N/A</v>
      </c>
      <c r="G57" s="64">
        <f>'Printable Form'!AB40</f>
        <v>0</v>
      </c>
      <c r="H57" s="63"/>
    </row>
    <row r="58" spans="1:8">
      <c r="A58" s="41">
        <v>43759</v>
      </c>
      <c r="B58" s="104" t="str">
        <f>IF('Printable Form'!D41&gt;0,'Printable Form'!D41,"")</f>
        <v/>
      </c>
      <c r="C58" s="104" t="str">
        <f>IF('Printable Form'!H41&gt;0,'Printable Form'!H41,"")</f>
        <v/>
      </c>
      <c r="D58" s="105" t="str">
        <f t="shared" si="3"/>
        <v/>
      </c>
      <c r="E58" s="39" t="e">
        <f t="shared" si="1"/>
        <v>#N/A</v>
      </c>
      <c r="F58" s="39" t="e">
        <f t="shared" si="2"/>
        <v>#N/A</v>
      </c>
      <c r="G58" s="64">
        <f>'Printable Form'!AB41</f>
        <v>0</v>
      </c>
      <c r="H58" s="63"/>
    </row>
    <row r="59" spans="1:8">
      <c r="A59" s="41">
        <v>43791</v>
      </c>
      <c r="B59" s="104" t="str">
        <f>IF('Printable Form'!D42&gt;0,'Printable Form'!D42,"")</f>
        <v/>
      </c>
      <c r="C59" s="104" t="str">
        <f>IF('Printable Form'!H42&gt;0,'Printable Form'!H42,"")</f>
        <v/>
      </c>
      <c r="D59" s="105" t="str">
        <f t="shared" si="3"/>
        <v/>
      </c>
      <c r="E59" s="39" t="e">
        <f t="shared" si="1"/>
        <v>#N/A</v>
      </c>
      <c r="F59" s="39" t="e">
        <f t="shared" si="2"/>
        <v>#N/A</v>
      </c>
      <c r="G59" s="64">
        <f>'Printable Form'!AB42</f>
        <v>0</v>
      </c>
      <c r="H59" s="63"/>
    </row>
    <row r="60" spans="1:8">
      <c r="A60" s="41">
        <v>43822</v>
      </c>
      <c r="B60" s="104" t="str">
        <f>IF('Printable Form'!D43&gt;0,'Printable Form'!D43,"")</f>
        <v/>
      </c>
      <c r="C60" s="104" t="str">
        <f>IF('Printable Form'!H43&gt;0,'Printable Form'!H43,"")</f>
        <v/>
      </c>
      <c r="D60" s="105" t="str">
        <f t="shared" si="3"/>
        <v/>
      </c>
      <c r="E60" s="39" t="e">
        <f t="shared" si="1"/>
        <v>#N/A</v>
      </c>
      <c r="F60" s="39" t="e">
        <f t="shared" si="2"/>
        <v>#N/A</v>
      </c>
      <c r="G60" s="64">
        <f>'Printable Form'!AB43</f>
        <v>0</v>
      </c>
      <c r="H60" s="63"/>
    </row>
    <row r="61" spans="1:8">
      <c r="A61" s="40"/>
      <c r="D61" s="105"/>
    </row>
    <row r="62" spans="1:8">
      <c r="A62" s="40" t="s">
        <v>154</v>
      </c>
      <c r="B62" s="39" t="e">
        <f>IF(AND($B$3="yes",$B$4="no"),0,IF($B$25=401,"LEAVE BLANK",IF('Printable Form'!T27="x",SUM(F49:F60),F45)))</f>
        <v>#N/A</v>
      </c>
      <c r="C62" t="s">
        <v>94</v>
      </c>
      <c r="D62" s="105"/>
      <c r="E62" s="73"/>
    </row>
    <row r="63" spans="1:8" ht="45.75" customHeight="1">
      <c r="A63" s="42" t="s">
        <v>155</v>
      </c>
      <c r="B63" s="39">
        <f>IF('Printable Form'!T27="x",SUM(G49:G60),G45)</f>
        <v>0</v>
      </c>
      <c r="C63" t="s">
        <v>96</v>
      </c>
    </row>
    <row r="64" spans="1:8" ht="90">
      <c r="A64" s="42" t="s">
        <v>156</v>
      </c>
      <c r="B64" s="39" t="e">
        <f>IF(B25=401,"LEAVE BLANK",IF(B62&gt;=B63,B62-B63,"leave blank"))</f>
        <v>#N/A</v>
      </c>
      <c r="C64" t="s">
        <v>98</v>
      </c>
    </row>
    <row r="65" spans="1:3">
      <c r="A65" s="40"/>
    </row>
    <row r="66" spans="1:3">
      <c r="A66" s="43" t="s">
        <v>157</v>
      </c>
    </row>
    <row r="68" spans="1:3" s="6" customFormat="1" ht="45">
      <c r="A68" s="6" t="s">
        <v>158</v>
      </c>
      <c r="B68" s="62" t="e">
        <f>IF(B25=401,B63,IF(B62&lt;B63,B63-B62,"leave blank"))</f>
        <v>#N/A</v>
      </c>
      <c r="C68" s="6" t="s">
        <v>101</v>
      </c>
    </row>
    <row r="69" spans="1:3" s="6" customFormat="1" ht="45">
      <c r="A69" s="61" t="s">
        <v>159</v>
      </c>
      <c r="B69" s="62" t="e">
        <f>IF(B68="Leave Blank","Leave Blank",'REPayment Limitation'!I12)</f>
        <v>#N/A</v>
      </c>
      <c r="C69" s="6" t="s">
        <v>103</v>
      </c>
    </row>
    <row r="70" spans="1:3" s="6" customFormat="1" ht="45">
      <c r="A70" s="6" t="s">
        <v>160</v>
      </c>
      <c r="B70" s="62" t="e">
        <f>IF(B68&lt;B69,B68,B69)</f>
        <v>#N/A</v>
      </c>
      <c r="C70" s="6" t="s">
        <v>105</v>
      </c>
    </row>
    <row r="71" spans="1:3" s="6" customFormat="1"/>
    <row r="72" spans="1:3" s="6" customFormat="1"/>
    <row r="73" spans="1:3" s="6" customFormat="1"/>
    <row r="74" spans="1:3" s="6" customFormat="1"/>
  </sheetData>
  <sheetProtection algorithmName="SHA-512" hashValue="R0eyssEMrHSFv3rJOUPz4eSDlAL8cI5+6cwNj3Yuiw7PQPGW/hRpjw7TzUcAWcJZm47Nr6E8Q73TsyNGd/HW1Q==" saltValue="3dTHLl7JqAAAeyK0gVCM5Q==" spinCount="100000" sheet="1" objects="1" scenarios="1"/>
  <conditionalFormatting sqref="B45:C45 G45">
    <cfRule type="expression" dxfId="6" priority="10">
      <formula>$B$40="CHECK NO"</formula>
    </cfRule>
  </conditionalFormatting>
  <conditionalFormatting sqref="B49:C60 G49:G60">
    <cfRule type="expression" dxfId="5" priority="8">
      <formula>$B$40="ChECK YES"</formula>
    </cfRule>
  </conditionalFormatting>
  <conditionalFormatting sqref="B3:B4">
    <cfRule type="expression" dxfId="4" priority="7">
      <formula>$B$2="yes"</formula>
    </cfRule>
  </conditionalFormatting>
  <conditionalFormatting sqref="B4">
    <cfRule type="expression" dxfId="3" priority="6">
      <formula>$B$3="no"</formula>
    </cfRule>
  </conditionalFormatting>
  <conditionalFormatting sqref="B38:B39">
    <cfRule type="expression" dxfId="2" priority="5">
      <formula>$B$37="no"</formula>
    </cfRule>
  </conditionalFormatting>
  <conditionalFormatting sqref="B39">
    <cfRule type="expression" dxfId="1" priority="4">
      <formula>$B$38="no"</formula>
    </cfRule>
  </conditionalFormatting>
  <conditionalFormatting sqref="B45:C45 B49:C60">
    <cfRule type="expression" dxfId="0" priority="1">
      <formula>$B$4="NO"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3"/>
  <dimension ref="A1:G169"/>
  <sheetViews>
    <sheetView topLeftCell="A106" workbookViewId="0">
      <selection activeCell="G134" sqref="G134"/>
    </sheetView>
  </sheetViews>
  <sheetFormatPr defaultRowHeight="15"/>
  <cols>
    <col min="1" max="1" width="24.7109375" customWidth="1"/>
    <col min="2" max="2" width="9.140625" style="17"/>
    <col min="3" max="3" width="9.140625" style="16"/>
    <col min="4" max="4" width="9.140625" style="12"/>
    <col min="5" max="6" width="9.140625" style="15"/>
  </cols>
  <sheetData>
    <row r="1" spans="1:5">
      <c r="A1" s="14">
        <v>13300.0201</v>
      </c>
      <c r="B1" s="17" t="str">
        <f>LEFT(A1,3)</f>
        <v>133</v>
      </c>
      <c r="C1" s="16" t="str">
        <f>RIGHT(A1,5)</f>
        <v>.0201</v>
      </c>
      <c r="D1" s="12">
        <v>132</v>
      </c>
      <c r="E1" s="15">
        <v>2.01E-2</v>
      </c>
    </row>
    <row r="2" spans="1:5">
      <c r="A2" s="14">
        <v>13300.030199999999</v>
      </c>
      <c r="B2" s="17" t="str">
        <f t="shared" ref="B2:B65" si="0">LEFT(A2,3)</f>
        <v>133</v>
      </c>
      <c r="C2" s="16" t="str">
        <f t="shared" ref="C2:C65" si="1">RIGHT(A2,5)</f>
        <v>.0302</v>
      </c>
      <c r="D2" s="12">
        <v>133</v>
      </c>
      <c r="E2" s="15">
        <v>3.0200000000000001E-2</v>
      </c>
    </row>
    <row r="3" spans="1:5">
      <c r="A3" s="14">
        <v>13400.0308</v>
      </c>
      <c r="B3" s="17" t="str">
        <f t="shared" si="0"/>
        <v>134</v>
      </c>
      <c r="C3" s="16" t="str">
        <f t="shared" si="1"/>
        <v>.0308</v>
      </c>
      <c r="D3" s="12">
        <v>134</v>
      </c>
      <c r="E3" s="15">
        <v>3.0800000000000001E-2</v>
      </c>
    </row>
    <row r="4" spans="1:5">
      <c r="A4" s="14">
        <v>13500.0314</v>
      </c>
      <c r="B4" s="17" t="str">
        <f t="shared" si="0"/>
        <v>135</v>
      </c>
      <c r="C4" s="16" t="str">
        <f t="shared" si="1"/>
        <v>.0314</v>
      </c>
      <c r="D4" s="12">
        <v>135</v>
      </c>
      <c r="E4" s="15">
        <v>3.1399999999999997E-2</v>
      </c>
    </row>
    <row r="5" spans="1:5">
      <c r="A5" s="14">
        <v>13600.031999999999</v>
      </c>
      <c r="B5" s="17" t="str">
        <f t="shared" si="0"/>
        <v>136</v>
      </c>
      <c r="C5" s="16" t="str">
        <f t="shared" si="1"/>
        <v>0.032</v>
      </c>
      <c r="D5" s="12">
        <v>136</v>
      </c>
      <c r="E5" s="15">
        <v>3.2000000000000001E-2</v>
      </c>
    </row>
    <row r="6" spans="1:5">
      <c r="A6" s="14">
        <v>13700.0326</v>
      </c>
      <c r="B6" s="17" t="str">
        <f t="shared" si="0"/>
        <v>137</v>
      </c>
      <c r="C6" s="16" t="str">
        <f t="shared" si="1"/>
        <v>.0326</v>
      </c>
      <c r="D6" s="12">
        <v>137</v>
      </c>
      <c r="E6" s="15">
        <v>3.2599999999999997E-2</v>
      </c>
    </row>
    <row r="7" spans="1:5">
      <c r="A7" s="14">
        <v>13800.0332</v>
      </c>
      <c r="B7" s="17" t="str">
        <f t="shared" si="0"/>
        <v>138</v>
      </c>
      <c r="C7" s="16" t="str">
        <f t="shared" si="1"/>
        <v>.0332</v>
      </c>
      <c r="D7" s="12">
        <v>138</v>
      </c>
      <c r="E7" s="15">
        <v>3.32E-2</v>
      </c>
    </row>
    <row r="8" spans="1:5">
      <c r="A8" s="14">
        <v>13900.033799999999</v>
      </c>
      <c r="B8" s="17" t="str">
        <f t="shared" si="0"/>
        <v>139</v>
      </c>
      <c r="C8" s="16" t="str">
        <f t="shared" si="1"/>
        <v>.0338</v>
      </c>
      <c r="D8" s="12">
        <v>139</v>
      </c>
      <c r="E8" s="15">
        <v>3.3799999999999997E-2</v>
      </c>
    </row>
    <row r="9" spans="1:5">
      <c r="A9" s="14">
        <v>14000.0344</v>
      </c>
      <c r="B9" s="17" t="str">
        <f t="shared" si="0"/>
        <v>140</v>
      </c>
      <c r="C9" s="16" t="str">
        <f t="shared" si="1"/>
        <v>.0344</v>
      </c>
      <c r="D9" s="12">
        <v>140</v>
      </c>
      <c r="E9" s="15">
        <v>3.44E-2</v>
      </c>
    </row>
    <row r="10" spans="1:5">
      <c r="A10" s="14">
        <v>14100.035</v>
      </c>
      <c r="B10" s="17" t="str">
        <f t="shared" si="0"/>
        <v>141</v>
      </c>
      <c r="C10" s="16" t="str">
        <f t="shared" si="1"/>
        <v>0.035</v>
      </c>
      <c r="D10" s="12">
        <v>141</v>
      </c>
      <c r="E10" s="15">
        <v>3.5000000000000003E-2</v>
      </c>
    </row>
    <row r="11" spans="1:5">
      <c r="A11" s="14">
        <v>14200.0355</v>
      </c>
      <c r="B11" s="17" t="str">
        <f t="shared" si="0"/>
        <v>142</v>
      </c>
      <c r="C11" s="16" t="str">
        <f t="shared" si="1"/>
        <v>.0355</v>
      </c>
      <c r="D11" s="12">
        <v>142</v>
      </c>
      <c r="E11" s="15">
        <v>3.5499999999999997E-2</v>
      </c>
    </row>
    <row r="12" spans="1:5">
      <c r="A12" s="14">
        <v>14300.036099999999</v>
      </c>
      <c r="B12" s="17" t="str">
        <f t="shared" si="0"/>
        <v>143</v>
      </c>
      <c r="C12" s="16" t="str">
        <f t="shared" si="1"/>
        <v>.0361</v>
      </c>
      <c r="D12" s="12">
        <v>143</v>
      </c>
      <c r="E12" s="15">
        <v>3.61E-2</v>
      </c>
    </row>
    <row r="13" spans="1:5">
      <c r="A13" s="14">
        <v>14400.036700000001</v>
      </c>
      <c r="B13" s="17" t="str">
        <f t="shared" si="0"/>
        <v>144</v>
      </c>
      <c r="C13" s="16" t="str">
        <f t="shared" si="1"/>
        <v>.0367</v>
      </c>
      <c r="D13" s="12">
        <v>144</v>
      </c>
      <c r="E13" s="15">
        <v>3.6700000000000003E-2</v>
      </c>
    </row>
    <row r="14" spans="1:5">
      <c r="A14" s="14">
        <v>14500.0373</v>
      </c>
      <c r="B14" s="17" t="str">
        <f t="shared" si="0"/>
        <v>145</v>
      </c>
      <c r="C14" s="16" t="str">
        <f t="shared" si="1"/>
        <v>.0373</v>
      </c>
      <c r="D14" s="12">
        <v>145</v>
      </c>
      <c r="E14" s="15">
        <v>3.73E-2</v>
      </c>
    </row>
    <row r="15" spans="1:5">
      <c r="A15" s="14">
        <v>14600.037899999999</v>
      </c>
      <c r="B15" s="17" t="str">
        <f t="shared" si="0"/>
        <v>146</v>
      </c>
      <c r="C15" s="16" t="str">
        <f t="shared" si="1"/>
        <v>.0379</v>
      </c>
      <c r="D15" s="12">
        <v>146</v>
      </c>
      <c r="E15" s="15">
        <v>3.7900000000000003E-2</v>
      </c>
    </row>
    <row r="16" spans="1:5">
      <c r="A16" s="14">
        <v>14700.038500000001</v>
      </c>
      <c r="B16" s="17" t="str">
        <f t="shared" si="0"/>
        <v>147</v>
      </c>
      <c r="C16" s="16" t="str">
        <f t="shared" si="1"/>
        <v>.0385</v>
      </c>
      <c r="D16" s="12">
        <v>147</v>
      </c>
      <c r="E16" s="15">
        <v>3.85E-2</v>
      </c>
    </row>
    <row r="17" spans="1:5">
      <c r="A17" s="14">
        <v>14800.0391</v>
      </c>
      <c r="B17" s="17" t="str">
        <f t="shared" si="0"/>
        <v>148</v>
      </c>
      <c r="C17" s="16" t="str">
        <f t="shared" si="1"/>
        <v>.0391</v>
      </c>
      <c r="D17" s="12">
        <v>148</v>
      </c>
      <c r="E17" s="15">
        <v>3.9100000000000003E-2</v>
      </c>
    </row>
    <row r="18" spans="1:5">
      <c r="A18" s="14">
        <v>14900.039699999999</v>
      </c>
      <c r="B18" s="17" t="str">
        <f t="shared" si="0"/>
        <v>149</v>
      </c>
      <c r="C18" s="16" t="str">
        <f t="shared" si="1"/>
        <v>.0397</v>
      </c>
      <c r="D18" s="12">
        <v>149</v>
      </c>
      <c r="E18" s="15">
        <v>3.9699999999999999E-2</v>
      </c>
    </row>
    <row r="19" spans="1:5">
      <c r="A19" s="14">
        <v>15000.040300000001</v>
      </c>
      <c r="B19" s="17" t="str">
        <f t="shared" si="0"/>
        <v>150</v>
      </c>
      <c r="C19" s="16" t="str">
        <f t="shared" si="1"/>
        <v>.0403</v>
      </c>
      <c r="D19" s="12">
        <v>150</v>
      </c>
      <c r="E19" s="15">
        <v>4.0300000000000002E-2</v>
      </c>
    </row>
    <row r="20" spans="1:5">
      <c r="A20" s="14">
        <v>15100.040800000001</v>
      </c>
      <c r="B20" s="17" t="str">
        <f t="shared" si="0"/>
        <v>151</v>
      </c>
      <c r="C20" s="16" t="str">
        <f t="shared" si="1"/>
        <v>.0408</v>
      </c>
      <c r="D20" s="12">
        <v>151</v>
      </c>
      <c r="E20" s="15">
        <v>4.0800000000000003E-2</v>
      </c>
    </row>
    <row r="21" spans="1:5">
      <c r="A21" s="14">
        <v>15200.0412</v>
      </c>
      <c r="B21" s="17" t="str">
        <f t="shared" si="0"/>
        <v>152</v>
      </c>
      <c r="C21" s="16" t="str">
        <f t="shared" si="1"/>
        <v>.0412</v>
      </c>
      <c r="D21" s="12">
        <v>152</v>
      </c>
      <c r="E21" s="15">
        <v>4.1200000000000001E-2</v>
      </c>
    </row>
    <row r="22" spans="1:5">
      <c r="A22" s="14">
        <v>15300.0417</v>
      </c>
      <c r="B22" s="17" t="str">
        <f t="shared" si="0"/>
        <v>153</v>
      </c>
      <c r="C22" s="16" t="str">
        <f t="shared" si="1"/>
        <v>.0417</v>
      </c>
      <c r="D22" s="12">
        <v>153</v>
      </c>
      <c r="E22" s="15">
        <v>4.1700000000000001E-2</v>
      </c>
    </row>
    <row r="23" spans="1:5">
      <c r="A23" s="14">
        <v>15400.042100000001</v>
      </c>
      <c r="B23" s="17" t="str">
        <f t="shared" si="0"/>
        <v>154</v>
      </c>
      <c r="C23" s="16" t="str">
        <f t="shared" si="1"/>
        <v>.0421</v>
      </c>
      <c r="D23" s="12">
        <v>154</v>
      </c>
      <c r="E23" s="15">
        <v>4.2099999999999999E-2</v>
      </c>
    </row>
    <row r="24" spans="1:5">
      <c r="A24" s="14">
        <v>15500.042600000001</v>
      </c>
      <c r="B24" s="17" t="str">
        <f t="shared" si="0"/>
        <v>155</v>
      </c>
      <c r="C24" s="16" t="str">
        <f t="shared" si="1"/>
        <v>.0426</v>
      </c>
      <c r="D24" s="12">
        <v>155</v>
      </c>
      <c r="E24" s="15">
        <v>4.2599999999999999E-2</v>
      </c>
    </row>
    <row r="25" spans="1:5">
      <c r="A25" s="14">
        <v>15600.043100000001</v>
      </c>
      <c r="B25" s="17" t="str">
        <f t="shared" si="0"/>
        <v>156</v>
      </c>
      <c r="C25" s="16" t="str">
        <f t="shared" si="1"/>
        <v>.0431</v>
      </c>
      <c r="D25" s="12">
        <v>156</v>
      </c>
      <c r="E25" s="15">
        <v>4.3099999999999999E-2</v>
      </c>
    </row>
    <row r="26" spans="1:5">
      <c r="A26" s="14">
        <v>15700.0435</v>
      </c>
      <c r="B26" s="17" t="str">
        <f t="shared" si="0"/>
        <v>157</v>
      </c>
      <c r="C26" s="16" t="str">
        <f t="shared" si="1"/>
        <v>.0435</v>
      </c>
      <c r="D26" s="12">
        <v>157</v>
      </c>
      <c r="E26" s="15">
        <v>4.3499999999999997E-2</v>
      </c>
    </row>
    <row r="27" spans="1:5">
      <c r="A27" s="14">
        <v>15800.044</v>
      </c>
      <c r="B27" s="17" t="str">
        <f t="shared" si="0"/>
        <v>158</v>
      </c>
      <c r="C27" s="16" t="str">
        <f t="shared" si="1"/>
        <v>0.044</v>
      </c>
      <c r="D27" s="12">
        <v>158</v>
      </c>
      <c r="E27" s="15">
        <v>4.3999999999999997E-2</v>
      </c>
    </row>
    <row r="28" spans="1:5">
      <c r="A28" s="14">
        <v>15900.0445</v>
      </c>
      <c r="B28" s="17" t="str">
        <f t="shared" si="0"/>
        <v>159</v>
      </c>
      <c r="C28" s="16" t="str">
        <f t="shared" si="1"/>
        <v>.0445</v>
      </c>
      <c r="D28" s="12">
        <v>159</v>
      </c>
      <c r="E28" s="15">
        <v>4.4499999999999998E-2</v>
      </c>
    </row>
    <row r="29" spans="1:5">
      <c r="A29" s="14">
        <v>16000.044900000001</v>
      </c>
      <c r="B29" s="17" t="str">
        <f t="shared" si="0"/>
        <v>160</v>
      </c>
      <c r="C29" s="16" t="str">
        <f t="shared" si="1"/>
        <v>.0449</v>
      </c>
      <c r="D29" s="12">
        <v>160</v>
      </c>
      <c r="E29" s="15">
        <v>4.4900000000000002E-2</v>
      </c>
    </row>
    <row r="30" spans="1:5">
      <c r="A30" s="14">
        <v>16100.045400000001</v>
      </c>
      <c r="B30" s="17" t="str">
        <f t="shared" si="0"/>
        <v>161</v>
      </c>
      <c r="C30" s="16" t="str">
        <f t="shared" si="1"/>
        <v>.0454</v>
      </c>
      <c r="D30" s="12">
        <v>161</v>
      </c>
      <c r="E30" s="15">
        <v>4.5400000000000003E-2</v>
      </c>
    </row>
    <row r="31" spans="1:5">
      <c r="A31" s="14">
        <v>16200.0458</v>
      </c>
      <c r="B31" s="17" t="str">
        <f t="shared" si="0"/>
        <v>162</v>
      </c>
      <c r="C31" s="16" t="str">
        <f t="shared" si="1"/>
        <v>.0458</v>
      </c>
      <c r="D31" s="12">
        <v>162</v>
      </c>
      <c r="E31" s="15">
        <v>4.58E-2</v>
      </c>
    </row>
    <row r="32" spans="1:5">
      <c r="A32" s="14">
        <v>16300.0463</v>
      </c>
      <c r="B32" s="17" t="str">
        <f t="shared" si="0"/>
        <v>163</v>
      </c>
      <c r="C32" s="16" t="str">
        <f t="shared" si="1"/>
        <v>.0463</v>
      </c>
      <c r="D32" s="12">
        <v>163</v>
      </c>
      <c r="E32" s="15">
        <v>4.6300000000000001E-2</v>
      </c>
    </row>
    <row r="33" spans="1:5">
      <c r="A33" s="14">
        <v>16400.0468</v>
      </c>
      <c r="B33" s="17" t="str">
        <f t="shared" si="0"/>
        <v>164</v>
      </c>
      <c r="C33" s="16" t="str">
        <f t="shared" si="1"/>
        <v>.0468</v>
      </c>
      <c r="D33" s="12">
        <v>164</v>
      </c>
      <c r="E33" s="15">
        <v>4.6800000000000001E-2</v>
      </c>
    </row>
    <row r="34" spans="1:5">
      <c r="A34" s="14">
        <v>16500.047200000001</v>
      </c>
      <c r="B34" s="17" t="str">
        <f t="shared" si="0"/>
        <v>165</v>
      </c>
      <c r="C34" s="16" t="str">
        <f t="shared" si="1"/>
        <v>.0472</v>
      </c>
      <c r="D34" s="12">
        <v>165</v>
      </c>
      <c r="E34" s="15">
        <v>4.7199999999999999E-2</v>
      </c>
    </row>
    <row r="35" spans="1:5">
      <c r="A35" s="14">
        <v>16600.047699999999</v>
      </c>
      <c r="B35" s="17" t="str">
        <f t="shared" si="0"/>
        <v>166</v>
      </c>
      <c r="C35" s="16" t="str">
        <f t="shared" si="1"/>
        <v>.0477</v>
      </c>
      <c r="D35" s="12">
        <v>166</v>
      </c>
      <c r="E35" s="15">
        <v>4.7699999999999999E-2</v>
      </c>
    </row>
    <row r="36" spans="1:5">
      <c r="A36" s="14">
        <v>16700.048200000001</v>
      </c>
      <c r="B36" s="17" t="str">
        <f t="shared" si="0"/>
        <v>167</v>
      </c>
      <c r="C36" s="16" t="str">
        <f t="shared" si="1"/>
        <v>.0482</v>
      </c>
      <c r="D36" s="12">
        <v>167</v>
      </c>
      <c r="E36" s="15">
        <v>4.82E-2</v>
      </c>
    </row>
    <row r="37" spans="1:5">
      <c r="A37" s="14">
        <v>16800.048599999998</v>
      </c>
      <c r="B37" s="17" t="str">
        <f t="shared" si="0"/>
        <v>168</v>
      </c>
      <c r="C37" s="16" t="str">
        <f t="shared" si="1"/>
        <v>.0486</v>
      </c>
      <c r="D37" s="12">
        <v>168</v>
      </c>
      <c r="E37" s="15">
        <v>4.8599999999999997E-2</v>
      </c>
    </row>
    <row r="38" spans="1:5">
      <c r="A38" s="14">
        <v>16900.0491</v>
      </c>
      <c r="B38" s="17" t="str">
        <f t="shared" si="0"/>
        <v>169</v>
      </c>
      <c r="C38" s="16" t="str">
        <f t="shared" si="1"/>
        <v>.0491</v>
      </c>
      <c r="D38" s="12">
        <v>169</v>
      </c>
      <c r="E38" s="15">
        <v>4.9099999999999998E-2</v>
      </c>
    </row>
    <row r="39" spans="1:5">
      <c r="A39" s="14">
        <v>17000.049500000001</v>
      </c>
      <c r="B39" s="17" t="str">
        <f t="shared" si="0"/>
        <v>170</v>
      </c>
      <c r="C39" s="16" t="str">
        <f t="shared" si="1"/>
        <v>.0495</v>
      </c>
      <c r="D39" s="12">
        <v>170</v>
      </c>
      <c r="E39" s="15">
        <v>4.9500000000000002E-2</v>
      </c>
    </row>
    <row r="40" spans="1:5">
      <c r="A40" s="14">
        <v>17100.05</v>
      </c>
      <c r="B40" s="17" t="str">
        <f t="shared" si="0"/>
        <v>171</v>
      </c>
      <c r="C40" s="16" t="str">
        <f t="shared" si="1"/>
        <v>00.05</v>
      </c>
      <c r="D40" s="12">
        <v>171</v>
      </c>
      <c r="E40" s="15">
        <v>0.05</v>
      </c>
    </row>
    <row r="41" spans="1:5">
      <c r="A41" s="14">
        <v>17200.050500000001</v>
      </c>
      <c r="B41" s="17" t="str">
        <f t="shared" si="0"/>
        <v>172</v>
      </c>
      <c r="C41" s="16" t="str">
        <f t="shared" si="1"/>
        <v>.0505</v>
      </c>
      <c r="D41" s="12">
        <v>172</v>
      </c>
      <c r="E41" s="15">
        <v>5.0500000000000003E-2</v>
      </c>
    </row>
    <row r="42" spans="1:5">
      <c r="A42" s="14">
        <v>17300.050899999998</v>
      </c>
      <c r="B42" s="17" t="str">
        <f t="shared" si="0"/>
        <v>173</v>
      </c>
      <c r="C42" s="16" t="str">
        <f t="shared" si="1"/>
        <v>.0509</v>
      </c>
      <c r="D42" s="12">
        <v>173</v>
      </c>
      <c r="E42" s="15">
        <v>5.0900000000000001E-2</v>
      </c>
    </row>
    <row r="43" spans="1:5">
      <c r="A43" s="14">
        <v>17400.0514</v>
      </c>
      <c r="B43" s="17" t="str">
        <f t="shared" si="0"/>
        <v>174</v>
      </c>
      <c r="C43" s="16" t="str">
        <f t="shared" si="1"/>
        <v>.0514</v>
      </c>
      <c r="D43" s="12">
        <v>174</v>
      </c>
      <c r="E43" s="15">
        <v>5.1400000000000001E-2</v>
      </c>
    </row>
    <row r="44" spans="1:5">
      <c r="A44" s="14">
        <v>17500.051899999999</v>
      </c>
      <c r="B44" s="17" t="str">
        <f t="shared" si="0"/>
        <v>175</v>
      </c>
      <c r="C44" s="16" t="str">
        <f t="shared" si="1"/>
        <v>.0519</v>
      </c>
      <c r="D44" s="12">
        <v>175</v>
      </c>
      <c r="E44" s="15">
        <v>5.1900000000000002E-2</v>
      </c>
    </row>
    <row r="45" spans="1:5">
      <c r="A45" s="14">
        <v>17600.052299999999</v>
      </c>
      <c r="B45" s="17" t="str">
        <f t="shared" si="0"/>
        <v>176</v>
      </c>
      <c r="C45" s="16" t="str">
        <f t="shared" si="1"/>
        <v>.0523</v>
      </c>
      <c r="D45" s="12">
        <v>176</v>
      </c>
      <c r="E45" s="15">
        <v>5.2299999999999999E-2</v>
      </c>
    </row>
    <row r="46" spans="1:5">
      <c r="A46" s="14">
        <v>17700.052800000001</v>
      </c>
      <c r="B46" s="17" t="str">
        <f t="shared" si="0"/>
        <v>177</v>
      </c>
      <c r="C46" s="16" t="str">
        <f t="shared" si="1"/>
        <v>.0528</v>
      </c>
      <c r="D46" s="12">
        <v>177</v>
      </c>
      <c r="E46" s="15">
        <v>5.28E-2</v>
      </c>
    </row>
    <row r="47" spans="1:5">
      <c r="A47" s="14">
        <v>17800.053199999998</v>
      </c>
      <c r="B47" s="17" t="str">
        <f t="shared" si="0"/>
        <v>178</v>
      </c>
      <c r="C47" s="16" t="str">
        <f t="shared" si="1"/>
        <v>.0532</v>
      </c>
      <c r="D47" s="12">
        <v>178</v>
      </c>
      <c r="E47" s="15">
        <v>5.3199999999999997E-2</v>
      </c>
    </row>
    <row r="48" spans="1:5">
      <c r="A48" s="14">
        <v>17900.0537</v>
      </c>
      <c r="B48" s="17" t="str">
        <f t="shared" si="0"/>
        <v>179</v>
      </c>
      <c r="C48" s="16" t="str">
        <f t="shared" si="1"/>
        <v>.0537</v>
      </c>
      <c r="D48" s="12">
        <v>179</v>
      </c>
      <c r="E48" s="15">
        <v>5.3699999999999998E-2</v>
      </c>
    </row>
    <row r="49" spans="1:7">
      <c r="A49" s="14">
        <v>18000.054199999999</v>
      </c>
      <c r="B49" s="17" t="str">
        <f t="shared" si="0"/>
        <v>180</v>
      </c>
      <c r="C49" s="16" t="str">
        <f t="shared" si="1"/>
        <v>.0542</v>
      </c>
      <c r="D49" s="12">
        <v>180</v>
      </c>
      <c r="E49" s="15">
        <v>5.4199999999999998E-2</v>
      </c>
    </row>
    <row r="50" spans="1:7">
      <c r="A50" s="14">
        <v>18100.054599999999</v>
      </c>
      <c r="B50" s="17" t="str">
        <f t="shared" si="0"/>
        <v>181</v>
      </c>
      <c r="C50" s="16" t="str">
        <f t="shared" si="1"/>
        <v>.0546</v>
      </c>
      <c r="D50" s="12">
        <v>181</v>
      </c>
      <c r="E50" s="15">
        <v>5.4600000000000003E-2</v>
      </c>
    </row>
    <row r="51" spans="1:7">
      <c r="A51" s="14">
        <v>18200.055100000001</v>
      </c>
      <c r="B51" s="17" t="str">
        <f t="shared" si="0"/>
        <v>182</v>
      </c>
      <c r="C51" s="16" t="str">
        <f t="shared" si="1"/>
        <v>.0551</v>
      </c>
      <c r="D51" s="12">
        <v>182</v>
      </c>
      <c r="E51" s="15">
        <v>5.5100000000000003E-2</v>
      </c>
    </row>
    <row r="52" spans="1:7">
      <c r="A52" s="14">
        <v>18300.055499999999</v>
      </c>
      <c r="B52" s="17" t="str">
        <f t="shared" si="0"/>
        <v>183</v>
      </c>
      <c r="C52" s="16" t="str">
        <f t="shared" si="1"/>
        <v>.0555</v>
      </c>
      <c r="D52" s="12">
        <v>183</v>
      </c>
      <c r="E52" s="15">
        <v>5.5500000000000001E-2</v>
      </c>
    </row>
    <row r="53" spans="1:7">
      <c r="A53" s="14">
        <v>18400.056</v>
      </c>
      <c r="B53" s="17" t="str">
        <f t="shared" si="0"/>
        <v>184</v>
      </c>
      <c r="C53" s="16" t="str">
        <f t="shared" si="1"/>
        <v>0.056</v>
      </c>
      <c r="D53" s="12">
        <v>184</v>
      </c>
      <c r="E53" s="15">
        <v>5.6000000000000001E-2</v>
      </c>
    </row>
    <row r="54" spans="1:7">
      <c r="A54" s="14">
        <v>18500.056499999999</v>
      </c>
      <c r="B54" s="17" t="str">
        <f t="shared" si="0"/>
        <v>185</v>
      </c>
      <c r="C54" s="16" t="str">
        <f t="shared" si="1"/>
        <v>.0565</v>
      </c>
      <c r="D54" s="12">
        <v>185</v>
      </c>
      <c r="E54" s="15">
        <v>5.6500000000000002E-2</v>
      </c>
    </row>
    <row r="55" spans="1:7">
      <c r="A55" s="14">
        <v>18600.0569</v>
      </c>
      <c r="B55" s="17" t="str">
        <f t="shared" si="0"/>
        <v>186</v>
      </c>
      <c r="C55" s="16" t="str">
        <f t="shared" si="1"/>
        <v>.0569</v>
      </c>
      <c r="D55" s="12">
        <v>186</v>
      </c>
      <c r="E55" s="15">
        <v>5.6899999999999999E-2</v>
      </c>
    </row>
    <row r="56" spans="1:7">
      <c r="A56" s="14">
        <v>18700.057400000002</v>
      </c>
      <c r="B56" s="17" t="str">
        <f t="shared" si="0"/>
        <v>187</v>
      </c>
      <c r="C56" s="16" t="str">
        <f t="shared" si="1"/>
        <v>.0574</v>
      </c>
      <c r="D56" s="12">
        <v>187</v>
      </c>
      <c r="E56" s="15">
        <v>5.74E-2</v>
      </c>
      <c r="F56" s="12"/>
      <c r="G56" s="12"/>
    </row>
    <row r="57" spans="1:7">
      <c r="A57" s="14">
        <v>18800.0579</v>
      </c>
      <c r="B57" s="17" t="str">
        <f t="shared" si="0"/>
        <v>188</v>
      </c>
      <c r="C57" s="16" t="str">
        <f t="shared" si="1"/>
        <v>.0579</v>
      </c>
      <c r="D57" s="12">
        <v>188</v>
      </c>
      <c r="E57" s="15">
        <v>5.79E-2</v>
      </c>
    </row>
    <row r="58" spans="1:7">
      <c r="A58" s="14">
        <v>18900.058300000001</v>
      </c>
      <c r="B58" s="17" t="str">
        <f t="shared" si="0"/>
        <v>189</v>
      </c>
      <c r="C58" s="16" t="str">
        <f>RIGHT(A58,5)</f>
        <v>.0583</v>
      </c>
      <c r="D58" s="12">
        <v>189</v>
      </c>
      <c r="E58" s="15">
        <v>5.8299999999999998E-2</v>
      </c>
    </row>
    <row r="59" spans="1:7">
      <c r="A59" s="14">
        <v>19000.058799999999</v>
      </c>
      <c r="B59" s="17" t="str">
        <f t="shared" si="0"/>
        <v>190</v>
      </c>
      <c r="C59" s="16">
        <v>5.8799999999999998E-2</v>
      </c>
      <c r="D59" s="12">
        <v>190</v>
      </c>
      <c r="E59" s="15">
        <v>5.8799999999999998E-2</v>
      </c>
    </row>
    <row r="60" spans="1:7">
      <c r="A60" s="14">
        <v>19100.0592</v>
      </c>
      <c r="B60" s="17" t="str">
        <f t="shared" si="0"/>
        <v>191</v>
      </c>
      <c r="C60" s="16" t="str">
        <f t="shared" si="1"/>
        <v>.0592</v>
      </c>
      <c r="D60" s="12">
        <v>191</v>
      </c>
      <c r="E60" s="15">
        <v>5.9200000000000003E-2</v>
      </c>
    </row>
    <row r="61" spans="1:7">
      <c r="A61" s="14">
        <v>19200.059700000002</v>
      </c>
      <c r="B61" s="17" t="str">
        <f t="shared" si="0"/>
        <v>192</v>
      </c>
      <c r="C61" s="16" t="str">
        <f t="shared" si="1"/>
        <v>.0597</v>
      </c>
      <c r="D61" s="12">
        <v>192</v>
      </c>
      <c r="E61" s="15">
        <v>5.9700000000000003E-2</v>
      </c>
    </row>
    <row r="62" spans="1:7">
      <c r="A62" s="14">
        <v>19300.0602</v>
      </c>
      <c r="B62" s="17" t="str">
        <f t="shared" si="0"/>
        <v>193</v>
      </c>
      <c r="C62" s="16" t="str">
        <f t="shared" si="1"/>
        <v>.0602</v>
      </c>
      <c r="D62" s="12">
        <v>193</v>
      </c>
      <c r="E62" s="15">
        <v>6.0199999999999997E-2</v>
      </c>
    </row>
    <row r="63" spans="1:7">
      <c r="A63" s="14">
        <v>19400.060600000001</v>
      </c>
      <c r="B63" s="17" t="str">
        <f t="shared" si="0"/>
        <v>194</v>
      </c>
      <c r="C63" s="16" t="str">
        <f t="shared" si="1"/>
        <v>.0606</v>
      </c>
      <c r="D63" s="12">
        <v>194</v>
      </c>
      <c r="E63" s="15">
        <v>6.0600000000000001E-2</v>
      </c>
    </row>
    <row r="64" spans="1:7">
      <c r="A64" s="14">
        <v>19500.061099999999</v>
      </c>
      <c r="B64" s="17" t="str">
        <f t="shared" si="0"/>
        <v>195</v>
      </c>
      <c r="C64" s="16" t="str">
        <f t="shared" si="1"/>
        <v>.0611</v>
      </c>
      <c r="D64" s="12">
        <v>195</v>
      </c>
      <c r="E64" s="15">
        <v>6.1100000000000002E-2</v>
      </c>
    </row>
    <row r="65" spans="1:5">
      <c r="A65" s="14">
        <v>19600.061600000001</v>
      </c>
      <c r="B65" s="17" t="str">
        <f t="shared" si="0"/>
        <v>196</v>
      </c>
      <c r="C65" s="16" t="str">
        <f t="shared" si="1"/>
        <v>.0616</v>
      </c>
      <c r="D65" s="12">
        <v>196</v>
      </c>
      <c r="E65" s="15">
        <v>6.1600000000000002E-2</v>
      </c>
    </row>
    <row r="66" spans="1:5">
      <c r="A66" s="14">
        <v>19700.062000000002</v>
      </c>
      <c r="B66" s="17" t="str">
        <f t="shared" ref="B66:B129" si="2">LEFT(A66,3)</f>
        <v>197</v>
      </c>
      <c r="C66" s="16" t="str">
        <f t="shared" ref="C66:C129" si="3">RIGHT(A66,5)</f>
        <v>0.062</v>
      </c>
      <c r="D66" s="12">
        <v>197</v>
      </c>
      <c r="E66" s="15">
        <v>6.2E-2</v>
      </c>
    </row>
    <row r="67" spans="1:5">
      <c r="A67" s="14">
        <v>19800.0625</v>
      </c>
      <c r="B67" s="17" t="str">
        <f t="shared" si="2"/>
        <v>198</v>
      </c>
      <c r="C67" s="16" t="str">
        <f t="shared" si="3"/>
        <v>.0625</v>
      </c>
      <c r="D67" s="12">
        <v>198</v>
      </c>
      <c r="E67" s="15">
        <v>6.25E-2</v>
      </c>
    </row>
    <row r="68" spans="1:5">
      <c r="A68" s="14">
        <v>19900.062900000001</v>
      </c>
      <c r="B68" s="17" t="str">
        <f t="shared" si="2"/>
        <v>199</v>
      </c>
      <c r="C68" s="16" t="str">
        <f t="shared" si="3"/>
        <v>.0629</v>
      </c>
      <c r="D68" s="12">
        <v>199</v>
      </c>
      <c r="E68" s="15">
        <v>6.2899999999999998E-2</v>
      </c>
    </row>
    <row r="69" spans="1:5">
      <c r="A69" s="14">
        <v>20000.063399999999</v>
      </c>
      <c r="B69" s="17" t="str">
        <f t="shared" si="2"/>
        <v>200</v>
      </c>
      <c r="C69" s="16" t="str">
        <f t="shared" si="3"/>
        <v>.0634</v>
      </c>
      <c r="D69" s="12">
        <v>200</v>
      </c>
      <c r="E69" s="15">
        <v>6.3399999999999998E-2</v>
      </c>
    </row>
    <row r="70" spans="1:5">
      <c r="A70" s="14">
        <v>20100.0638</v>
      </c>
      <c r="B70" s="17" t="str">
        <f t="shared" si="2"/>
        <v>201</v>
      </c>
      <c r="C70" s="16" t="str">
        <f t="shared" si="3"/>
        <v>.0638</v>
      </c>
      <c r="D70" s="12">
        <v>201</v>
      </c>
      <c r="E70" s="15">
        <v>6.3799999999999996E-2</v>
      </c>
    </row>
    <row r="71" spans="1:5">
      <c r="A71" s="14">
        <v>20200.0641</v>
      </c>
      <c r="B71" s="17" t="str">
        <f t="shared" si="2"/>
        <v>202</v>
      </c>
      <c r="C71" s="16" t="str">
        <f t="shared" si="3"/>
        <v>.0641</v>
      </c>
      <c r="D71" s="12">
        <v>202</v>
      </c>
      <c r="E71" s="15">
        <v>6.4100000000000004E-2</v>
      </c>
    </row>
    <row r="72" spans="1:5">
      <c r="A72" s="14">
        <v>20300.0645</v>
      </c>
      <c r="B72" s="17" t="str">
        <f t="shared" si="2"/>
        <v>203</v>
      </c>
      <c r="C72" s="16" t="str">
        <f t="shared" si="3"/>
        <v>.0645</v>
      </c>
      <c r="D72" s="12">
        <v>203</v>
      </c>
      <c r="E72" s="15">
        <v>6.4500000000000002E-2</v>
      </c>
    </row>
    <row r="73" spans="1:5">
      <c r="A73" s="14">
        <v>20400.0648</v>
      </c>
      <c r="B73" s="17" t="str">
        <f t="shared" si="2"/>
        <v>204</v>
      </c>
      <c r="C73" s="16" t="str">
        <f t="shared" si="3"/>
        <v>.0648</v>
      </c>
      <c r="D73" s="12">
        <v>204</v>
      </c>
      <c r="E73" s="15">
        <v>6.4799999999999996E-2</v>
      </c>
    </row>
    <row r="74" spans="1:5">
      <c r="A74" s="14">
        <v>20500.065200000001</v>
      </c>
      <c r="B74" s="17" t="str">
        <f t="shared" si="2"/>
        <v>205</v>
      </c>
      <c r="C74" s="16" t="str">
        <f t="shared" si="3"/>
        <v>.0652</v>
      </c>
      <c r="D74" s="12">
        <v>205</v>
      </c>
      <c r="E74" s="15">
        <v>6.5199999999999994E-2</v>
      </c>
    </row>
    <row r="75" spans="1:5">
      <c r="A75" s="14">
        <v>20600.065500000001</v>
      </c>
      <c r="B75" s="17" t="str">
        <f t="shared" si="2"/>
        <v>206</v>
      </c>
      <c r="C75" s="16" t="str">
        <f t="shared" si="3"/>
        <v>.0655</v>
      </c>
      <c r="D75" s="12">
        <v>206</v>
      </c>
      <c r="E75" s="15">
        <v>6.5500000000000003E-2</v>
      </c>
    </row>
    <row r="76" spans="1:5">
      <c r="A76" s="14">
        <v>20700.065900000001</v>
      </c>
      <c r="B76" s="17" t="str">
        <f t="shared" si="2"/>
        <v>207</v>
      </c>
      <c r="C76" s="16" t="str">
        <f t="shared" si="3"/>
        <v>.0659</v>
      </c>
      <c r="D76" s="12">
        <v>207</v>
      </c>
      <c r="E76" s="15">
        <v>6.59E-2</v>
      </c>
    </row>
    <row r="77" spans="1:5">
      <c r="A77" s="14">
        <v>20800.066200000001</v>
      </c>
      <c r="B77" s="17" t="str">
        <f t="shared" si="2"/>
        <v>208</v>
      </c>
      <c r="C77" s="16" t="str">
        <f t="shared" si="3"/>
        <v>.0662</v>
      </c>
      <c r="D77" s="12">
        <v>208</v>
      </c>
      <c r="E77" s="15">
        <v>6.6199999999999995E-2</v>
      </c>
    </row>
    <row r="78" spans="1:5">
      <c r="A78" s="14">
        <v>20900.066599999998</v>
      </c>
      <c r="B78" s="17" t="str">
        <f t="shared" si="2"/>
        <v>209</v>
      </c>
      <c r="C78" s="16" t="str">
        <f t="shared" si="3"/>
        <v>.0666</v>
      </c>
      <c r="D78" s="12">
        <v>209</v>
      </c>
      <c r="E78" s="15">
        <v>6.6600000000000006E-2</v>
      </c>
    </row>
    <row r="79" spans="1:5">
      <c r="A79" s="14">
        <v>21000.066900000002</v>
      </c>
      <c r="B79" s="17" t="str">
        <f t="shared" si="2"/>
        <v>210</v>
      </c>
      <c r="C79" s="16" t="str">
        <f t="shared" si="3"/>
        <v>.0669</v>
      </c>
      <c r="D79" s="12">
        <v>210</v>
      </c>
      <c r="E79" s="15">
        <v>6.6900000000000001E-2</v>
      </c>
    </row>
    <row r="80" spans="1:5">
      <c r="A80" s="14">
        <v>21100.067299999999</v>
      </c>
      <c r="B80" s="17" t="str">
        <f t="shared" si="2"/>
        <v>211</v>
      </c>
      <c r="C80" s="16" t="str">
        <f t="shared" si="3"/>
        <v>.0673</v>
      </c>
      <c r="D80" s="12">
        <v>211</v>
      </c>
      <c r="E80" s="15">
        <v>6.7299999999999999E-2</v>
      </c>
    </row>
    <row r="81" spans="1:5">
      <c r="A81" s="14">
        <v>21200.067599999998</v>
      </c>
      <c r="B81" s="17" t="str">
        <f t="shared" si="2"/>
        <v>212</v>
      </c>
      <c r="C81" s="16" t="str">
        <f t="shared" si="3"/>
        <v>.0676</v>
      </c>
      <c r="D81" s="12">
        <v>212</v>
      </c>
      <c r="E81" s="15">
        <v>6.7599999999999993E-2</v>
      </c>
    </row>
    <row r="82" spans="1:5">
      <c r="A82" s="14">
        <v>21300.067999999999</v>
      </c>
      <c r="B82" s="17" t="str">
        <f t="shared" si="2"/>
        <v>213</v>
      </c>
      <c r="C82" s="16" t="str">
        <f t="shared" si="3"/>
        <v>0.068</v>
      </c>
      <c r="D82" s="12">
        <v>213</v>
      </c>
      <c r="E82" s="15">
        <v>6.8000000000000005E-2</v>
      </c>
    </row>
    <row r="83" spans="1:5">
      <c r="A83" s="14">
        <v>21400.068299999999</v>
      </c>
      <c r="B83" s="17" t="str">
        <f t="shared" si="2"/>
        <v>214</v>
      </c>
      <c r="C83" s="16" t="str">
        <f t="shared" si="3"/>
        <v>.0683</v>
      </c>
      <c r="D83" s="12">
        <v>214</v>
      </c>
      <c r="E83" s="15">
        <v>6.83E-2</v>
      </c>
    </row>
    <row r="84" spans="1:5">
      <c r="A84" s="14">
        <v>21500.0687</v>
      </c>
      <c r="B84" s="17" t="str">
        <f t="shared" si="2"/>
        <v>215</v>
      </c>
      <c r="C84" s="16" t="str">
        <f t="shared" si="3"/>
        <v>.0687</v>
      </c>
      <c r="D84" s="12">
        <v>215</v>
      </c>
      <c r="E84" s="15">
        <v>6.8699999999999997E-2</v>
      </c>
    </row>
    <row r="85" spans="1:5">
      <c r="A85" s="14">
        <v>21600.069</v>
      </c>
      <c r="B85" s="17" t="str">
        <f t="shared" si="2"/>
        <v>216</v>
      </c>
      <c r="C85" s="16" t="str">
        <f t="shared" si="3"/>
        <v>0.069</v>
      </c>
      <c r="D85" s="12">
        <v>216</v>
      </c>
      <c r="E85" s="15">
        <v>6.9000000000000006E-2</v>
      </c>
    </row>
    <row r="86" spans="1:5">
      <c r="A86" s="14">
        <v>21700.0694</v>
      </c>
      <c r="B86" s="17" t="str">
        <f t="shared" si="2"/>
        <v>217</v>
      </c>
      <c r="C86" s="16" t="str">
        <f t="shared" si="3"/>
        <v>.0694</v>
      </c>
      <c r="D86" s="12">
        <v>217</v>
      </c>
      <c r="E86" s="15">
        <v>6.9400000000000003E-2</v>
      </c>
    </row>
    <row r="87" spans="1:5">
      <c r="A87" s="14">
        <v>21800.0697</v>
      </c>
      <c r="B87" s="17" t="str">
        <f t="shared" si="2"/>
        <v>218</v>
      </c>
      <c r="C87" s="16" t="str">
        <f t="shared" si="3"/>
        <v>.0697</v>
      </c>
      <c r="D87" s="12">
        <v>218</v>
      </c>
      <c r="E87" s="15">
        <v>6.9699999999999998E-2</v>
      </c>
    </row>
    <row r="88" spans="1:5">
      <c r="A88" s="14">
        <v>21900.070100000001</v>
      </c>
      <c r="B88" s="17" t="str">
        <f t="shared" si="2"/>
        <v>219</v>
      </c>
      <c r="C88" s="16" t="str">
        <f t="shared" si="3"/>
        <v>.0701</v>
      </c>
      <c r="D88" s="12">
        <v>219</v>
      </c>
      <c r="E88" s="15">
        <v>7.0099999999999996E-2</v>
      </c>
    </row>
    <row r="89" spans="1:5">
      <c r="A89" s="14">
        <v>22000.070400000001</v>
      </c>
      <c r="B89" s="17" t="str">
        <f t="shared" si="2"/>
        <v>220</v>
      </c>
      <c r="C89" s="16" t="str">
        <f t="shared" si="3"/>
        <v>.0704</v>
      </c>
      <c r="D89" s="12">
        <v>220</v>
      </c>
      <c r="E89" s="15">
        <v>7.0400000000000004E-2</v>
      </c>
    </row>
    <row r="90" spans="1:5">
      <c r="A90" s="14">
        <v>22100.070800000001</v>
      </c>
      <c r="B90" s="17" t="str">
        <f t="shared" si="2"/>
        <v>221</v>
      </c>
      <c r="C90" s="16" t="str">
        <f t="shared" si="3"/>
        <v>.0708</v>
      </c>
      <c r="D90" s="12">
        <v>221</v>
      </c>
      <c r="E90" s="15">
        <v>7.0800000000000002E-2</v>
      </c>
    </row>
    <row r="91" spans="1:5">
      <c r="A91" s="14">
        <v>22200.071100000001</v>
      </c>
      <c r="B91" s="17" t="str">
        <f t="shared" si="2"/>
        <v>222</v>
      </c>
      <c r="C91" s="16" t="str">
        <f t="shared" si="3"/>
        <v>.0711</v>
      </c>
      <c r="D91" s="12">
        <v>222</v>
      </c>
      <c r="E91" s="15">
        <v>7.1099999999999997E-2</v>
      </c>
    </row>
    <row r="92" spans="1:5">
      <c r="A92" s="14">
        <v>22300.071499999998</v>
      </c>
      <c r="B92" s="17" t="str">
        <f t="shared" si="2"/>
        <v>223</v>
      </c>
      <c r="C92" s="16" t="str">
        <f t="shared" si="3"/>
        <v>.0715</v>
      </c>
      <c r="D92" s="12">
        <v>223</v>
      </c>
      <c r="E92" s="15">
        <v>7.1499999999999994E-2</v>
      </c>
    </row>
    <row r="93" spans="1:5">
      <c r="A93" s="14">
        <v>22400.071800000002</v>
      </c>
      <c r="B93" s="17" t="str">
        <f t="shared" si="2"/>
        <v>224</v>
      </c>
      <c r="C93" s="16" t="str">
        <f t="shared" si="3"/>
        <v>.0718</v>
      </c>
      <c r="D93" s="12">
        <v>224</v>
      </c>
      <c r="E93" s="15">
        <v>7.1800000000000003E-2</v>
      </c>
    </row>
    <row r="94" spans="1:5">
      <c r="A94" s="14">
        <v>22500.072199999999</v>
      </c>
      <c r="B94" s="17" t="str">
        <f t="shared" si="2"/>
        <v>225</v>
      </c>
      <c r="C94" s="16" t="str">
        <f t="shared" si="3"/>
        <v>.0722</v>
      </c>
      <c r="D94" s="12">
        <v>225</v>
      </c>
      <c r="E94" s="15">
        <v>7.22E-2</v>
      </c>
    </row>
    <row r="95" spans="1:5">
      <c r="A95" s="14">
        <v>22600.0726</v>
      </c>
      <c r="B95" s="17" t="str">
        <f t="shared" si="2"/>
        <v>226</v>
      </c>
      <c r="C95" s="16" t="str">
        <f t="shared" si="3"/>
        <v>.0726</v>
      </c>
      <c r="D95" s="12">
        <v>226</v>
      </c>
      <c r="E95" s="15">
        <v>7.2599999999999998E-2</v>
      </c>
    </row>
    <row r="96" spans="1:5">
      <c r="A96" s="14">
        <v>22700.072899999999</v>
      </c>
      <c r="B96" s="17" t="str">
        <f t="shared" si="2"/>
        <v>227</v>
      </c>
      <c r="C96" s="16" t="str">
        <f t="shared" si="3"/>
        <v>.0729</v>
      </c>
      <c r="D96" s="12">
        <v>227</v>
      </c>
      <c r="E96" s="15">
        <v>7.2900000000000006E-2</v>
      </c>
    </row>
    <row r="97" spans="1:5">
      <c r="A97" s="14">
        <v>22800.0733</v>
      </c>
      <c r="B97" s="17" t="str">
        <f t="shared" si="2"/>
        <v>228</v>
      </c>
      <c r="C97" s="16" t="str">
        <f t="shared" si="3"/>
        <v>.0733</v>
      </c>
      <c r="D97" s="12">
        <v>228</v>
      </c>
      <c r="E97" s="15">
        <v>7.3300000000000004E-2</v>
      </c>
    </row>
    <row r="98" spans="1:5">
      <c r="A98" s="14">
        <v>22900.0736</v>
      </c>
      <c r="B98" s="17" t="str">
        <f t="shared" si="2"/>
        <v>229</v>
      </c>
      <c r="C98" s="16" t="str">
        <f t="shared" si="3"/>
        <v>.0736</v>
      </c>
      <c r="D98" s="12">
        <v>229</v>
      </c>
      <c r="E98" s="15">
        <v>7.3599999999999999E-2</v>
      </c>
    </row>
    <row r="99" spans="1:5">
      <c r="A99" s="14">
        <v>23000.074000000001</v>
      </c>
      <c r="B99" s="17" t="str">
        <f t="shared" si="2"/>
        <v>230</v>
      </c>
      <c r="C99" s="16" t="str">
        <f t="shared" si="3"/>
        <v>0.074</v>
      </c>
      <c r="D99" s="12">
        <v>230</v>
      </c>
      <c r="E99" s="15">
        <v>7.3999999999999996E-2</v>
      </c>
    </row>
    <row r="100" spans="1:5">
      <c r="A100" s="14">
        <v>23100.0743</v>
      </c>
      <c r="B100" s="17" t="str">
        <f t="shared" si="2"/>
        <v>231</v>
      </c>
      <c r="C100" s="16" t="str">
        <f t="shared" si="3"/>
        <v>.0743</v>
      </c>
      <c r="D100" s="12">
        <v>231</v>
      </c>
      <c r="E100" s="15">
        <v>7.4300000000000005E-2</v>
      </c>
    </row>
    <row r="101" spans="1:5">
      <c r="A101" s="14">
        <v>23200.074700000001</v>
      </c>
      <c r="B101" s="17" t="str">
        <f t="shared" si="2"/>
        <v>232</v>
      </c>
      <c r="C101" s="16" t="str">
        <f t="shared" si="3"/>
        <v>.0747</v>
      </c>
      <c r="D101" s="12">
        <v>232</v>
      </c>
      <c r="E101" s="15">
        <v>7.4700000000000003E-2</v>
      </c>
    </row>
    <row r="102" spans="1:5">
      <c r="A102" s="14">
        <v>23300.075000000001</v>
      </c>
      <c r="B102" s="17" t="str">
        <f t="shared" si="2"/>
        <v>233</v>
      </c>
      <c r="C102" s="16" t="str">
        <f t="shared" si="3"/>
        <v>0.075</v>
      </c>
      <c r="D102" s="12">
        <v>233</v>
      </c>
      <c r="E102" s="15">
        <v>7.4999999999999997E-2</v>
      </c>
    </row>
    <row r="103" spans="1:5">
      <c r="A103" s="14">
        <v>23400.075400000002</v>
      </c>
      <c r="B103" s="17" t="str">
        <f t="shared" si="2"/>
        <v>234</v>
      </c>
      <c r="C103" s="16" t="str">
        <f t="shared" si="3"/>
        <v>.0754</v>
      </c>
      <c r="D103" s="12">
        <v>234</v>
      </c>
      <c r="E103" s="15">
        <v>7.5399999999999995E-2</v>
      </c>
    </row>
    <row r="104" spans="1:5">
      <c r="A104" s="14">
        <v>23500.075700000001</v>
      </c>
      <c r="B104" s="17" t="str">
        <f t="shared" si="2"/>
        <v>235</v>
      </c>
      <c r="C104" s="16" t="str">
        <f t="shared" si="3"/>
        <v>.0757</v>
      </c>
      <c r="D104" s="12">
        <v>235</v>
      </c>
      <c r="E104" s="15">
        <v>7.5700000000000003E-2</v>
      </c>
    </row>
    <row r="105" spans="1:5">
      <c r="A105" s="14">
        <v>23600.076099999998</v>
      </c>
      <c r="B105" s="17" t="str">
        <f t="shared" si="2"/>
        <v>236</v>
      </c>
      <c r="C105" s="16" t="str">
        <f t="shared" si="3"/>
        <v>.0761</v>
      </c>
      <c r="D105" s="12">
        <v>236</v>
      </c>
      <c r="E105" s="15">
        <v>7.6100000000000001E-2</v>
      </c>
    </row>
    <row r="106" spans="1:5">
      <c r="A106" s="14">
        <v>23700.076400000002</v>
      </c>
      <c r="B106" s="17" t="str">
        <f t="shared" si="2"/>
        <v>237</v>
      </c>
      <c r="C106" s="16" t="str">
        <f t="shared" si="3"/>
        <v>.0764</v>
      </c>
      <c r="D106" s="12">
        <v>237</v>
      </c>
      <c r="E106" s="15">
        <v>7.6399999999999996E-2</v>
      </c>
    </row>
    <row r="107" spans="1:5">
      <c r="A107" s="14">
        <v>23800.076799999999</v>
      </c>
      <c r="B107" s="17" t="str">
        <f t="shared" si="2"/>
        <v>238</v>
      </c>
      <c r="C107" s="16" t="str">
        <f t="shared" si="3"/>
        <v>.0768</v>
      </c>
      <c r="D107" s="12">
        <v>238</v>
      </c>
      <c r="E107" s="15">
        <v>7.6799999999999993E-2</v>
      </c>
    </row>
    <row r="108" spans="1:5">
      <c r="A108" s="14">
        <v>23900.077099999999</v>
      </c>
      <c r="B108" s="17" t="str">
        <f t="shared" si="2"/>
        <v>239</v>
      </c>
      <c r="C108" s="16" t="str">
        <f t="shared" si="3"/>
        <v>.0771</v>
      </c>
      <c r="D108" s="12">
        <v>239</v>
      </c>
      <c r="E108" s="15">
        <v>7.7100000000000002E-2</v>
      </c>
    </row>
    <row r="109" spans="1:5">
      <c r="A109" s="14">
        <v>24000.077499999999</v>
      </c>
      <c r="B109" s="17" t="str">
        <f t="shared" si="2"/>
        <v>240</v>
      </c>
      <c r="C109" s="16" t="str">
        <f t="shared" si="3"/>
        <v>.0775</v>
      </c>
      <c r="D109" s="12">
        <v>240</v>
      </c>
      <c r="E109" s="15">
        <v>7.7499999999999999E-2</v>
      </c>
    </row>
    <row r="110" spans="1:5">
      <c r="A110" s="14">
        <v>24100.077799999999</v>
      </c>
      <c r="B110" s="17" t="str">
        <f t="shared" si="2"/>
        <v>241</v>
      </c>
      <c r="C110" s="16" t="str">
        <f t="shared" si="3"/>
        <v>.0778</v>
      </c>
      <c r="D110" s="12">
        <v>241</v>
      </c>
      <c r="E110" s="15">
        <v>7.7799999999999994E-2</v>
      </c>
    </row>
    <row r="111" spans="1:5">
      <c r="A111" s="14">
        <v>24200.0782</v>
      </c>
      <c r="B111" s="17" t="str">
        <f t="shared" si="2"/>
        <v>242</v>
      </c>
      <c r="C111" s="16" t="str">
        <f t="shared" si="3"/>
        <v>.0782</v>
      </c>
      <c r="D111" s="12">
        <v>242</v>
      </c>
      <c r="E111" s="15">
        <v>7.8200000000000006E-2</v>
      </c>
    </row>
    <row r="112" spans="1:5">
      <c r="A112" s="14">
        <v>24300.0785</v>
      </c>
      <c r="B112" s="17" t="str">
        <f t="shared" si="2"/>
        <v>243</v>
      </c>
      <c r="C112" s="16" t="str">
        <f t="shared" si="3"/>
        <v>.0785</v>
      </c>
      <c r="D112" s="12">
        <v>243</v>
      </c>
      <c r="E112" s="15">
        <v>7.85E-2</v>
      </c>
    </row>
    <row r="113" spans="1:5">
      <c r="A113" s="14">
        <v>24400.0789</v>
      </c>
      <c r="B113" s="17" t="str">
        <f t="shared" si="2"/>
        <v>244</v>
      </c>
      <c r="C113" s="16" t="str">
        <f t="shared" si="3"/>
        <v>.0789</v>
      </c>
      <c r="D113" s="12">
        <v>244</v>
      </c>
      <c r="E113" s="15">
        <v>7.8899999999999998E-2</v>
      </c>
    </row>
    <row r="114" spans="1:5">
      <c r="A114" s="14">
        <v>24500.0792</v>
      </c>
      <c r="B114" s="17" t="str">
        <f t="shared" si="2"/>
        <v>245</v>
      </c>
      <c r="C114" s="16" t="str">
        <f t="shared" si="3"/>
        <v>.0792</v>
      </c>
      <c r="D114" s="12">
        <v>245</v>
      </c>
      <c r="E114" s="15">
        <v>7.9200000000000007E-2</v>
      </c>
    </row>
    <row r="115" spans="1:5">
      <c r="A115" s="14">
        <v>24600.079600000001</v>
      </c>
      <c r="B115" s="17" t="str">
        <f t="shared" si="2"/>
        <v>246</v>
      </c>
      <c r="C115" s="16" t="str">
        <f t="shared" si="3"/>
        <v>.0796</v>
      </c>
      <c r="D115" s="12">
        <v>246</v>
      </c>
      <c r="E115" s="15">
        <v>7.9600000000000004E-2</v>
      </c>
    </row>
    <row r="116" spans="1:5">
      <c r="A116" s="14">
        <v>24700.079900000001</v>
      </c>
      <c r="B116" s="17" t="str">
        <f t="shared" si="2"/>
        <v>247</v>
      </c>
      <c r="C116" s="16" t="str">
        <f t="shared" si="3"/>
        <v>.0799</v>
      </c>
      <c r="D116" s="12">
        <v>247</v>
      </c>
      <c r="E116" s="15">
        <v>7.9899999999999999E-2</v>
      </c>
    </row>
    <row r="117" spans="1:5">
      <c r="A117" s="14">
        <v>24800.080300000001</v>
      </c>
      <c r="B117" s="17" t="str">
        <f t="shared" si="2"/>
        <v>248</v>
      </c>
      <c r="C117" s="16" t="str">
        <f t="shared" si="3"/>
        <v>.0803</v>
      </c>
      <c r="D117" s="12">
        <v>248</v>
      </c>
      <c r="E117" s="15">
        <v>8.0299999999999996E-2</v>
      </c>
    </row>
    <row r="118" spans="1:5">
      <c r="A118" s="14">
        <v>24900.080600000001</v>
      </c>
      <c r="B118" s="17" t="str">
        <f t="shared" si="2"/>
        <v>249</v>
      </c>
      <c r="C118" s="16" t="str">
        <f t="shared" si="3"/>
        <v>.0806</v>
      </c>
      <c r="D118" s="12">
        <v>249</v>
      </c>
      <c r="E118" s="15">
        <v>8.0600000000000005E-2</v>
      </c>
    </row>
    <row r="119" spans="1:5">
      <c r="A119" s="14">
        <v>25000.080999999998</v>
      </c>
      <c r="B119" s="17" t="str">
        <f t="shared" si="2"/>
        <v>250</v>
      </c>
      <c r="C119" s="16" t="str">
        <f t="shared" si="3"/>
        <v>0.081</v>
      </c>
      <c r="D119" s="12">
        <v>250</v>
      </c>
      <c r="E119" s="15">
        <v>8.1000000000000003E-2</v>
      </c>
    </row>
    <row r="120" spans="1:5">
      <c r="A120" s="14">
        <v>25100.081300000002</v>
      </c>
      <c r="B120" s="17" t="str">
        <f t="shared" si="2"/>
        <v>251</v>
      </c>
      <c r="C120" s="16" t="str">
        <f t="shared" si="3"/>
        <v>.0813</v>
      </c>
      <c r="D120" s="12">
        <v>251</v>
      </c>
      <c r="E120" s="15">
        <v>8.1299999999999997E-2</v>
      </c>
    </row>
    <row r="121" spans="1:5">
      <c r="A121" s="14">
        <v>25200.081600000001</v>
      </c>
      <c r="B121" s="17" t="str">
        <f t="shared" si="2"/>
        <v>252</v>
      </c>
      <c r="C121" s="16" t="str">
        <f t="shared" si="3"/>
        <v>.0816</v>
      </c>
      <c r="D121" s="12">
        <v>252</v>
      </c>
      <c r="E121" s="15">
        <v>8.1600000000000006E-2</v>
      </c>
    </row>
    <row r="122" spans="1:5">
      <c r="A122" s="14">
        <v>25300.081900000001</v>
      </c>
      <c r="B122" s="17" t="str">
        <f t="shared" si="2"/>
        <v>253</v>
      </c>
      <c r="C122" s="16" t="str">
        <f t="shared" si="3"/>
        <v>.0819</v>
      </c>
      <c r="D122" s="12">
        <v>253</v>
      </c>
      <c r="E122" s="15">
        <v>8.1900000000000001E-2</v>
      </c>
    </row>
    <row r="123" spans="1:5">
      <c r="A123" s="14">
        <v>25400.082200000001</v>
      </c>
      <c r="B123" s="17" t="str">
        <f t="shared" si="2"/>
        <v>254</v>
      </c>
      <c r="C123" s="16" t="str">
        <f t="shared" si="3"/>
        <v>.0822</v>
      </c>
      <c r="D123" s="12">
        <v>254</v>
      </c>
      <c r="E123" s="15">
        <v>8.2199999999999995E-2</v>
      </c>
    </row>
    <row r="124" spans="1:5">
      <c r="A124" s="14">
        <v>25500.0825</v>
      </c>
      <c r="B124" s="17" t="str">
        <f t="shared" si="2"/>
        <v>255</v>
      </c>
      <c r="C124" s="16" t="str">
        <f t="shared" si="3"/>
        <v>.0825</v>
      </c>
      <c r="D124" s="12">
        <v>255</v>
      </c>
      <c r="E124" s="15">
        <v>8.2500000000000004E-2</v>
      </c>
    </row>
    <row r="125" spans="1:5">
      <c r="A125" s="14">
        <v>25600.0828</v>
      </c>
      <c r="B125" s="17" t="str">
        <f t="shared" si="2"/>
        <v>256</v>
      </c>
      <c r="C125" s="16" t="str">
        <f t="shared" si="3"/>
        <v>.0828</v>
      </c>
      <c r="D125" s="12">
        <v>256</v>
      </c>
      <c r="E125" s="15">
        <v>8.2799999999999999E-2</v>
      </c>
    </row>
    <row r="126" spans="1:5">
      <c r="A126" s="14">
        <v>25700.082999999999</v>
      </c>
      <c r="B126" s="17" t="str">
        <f t="shared" si="2"/>
        <v>257</v>
      </c>
      <c r="C126" s="16" t="str">
        <f t="shared" si="3"/>
        <v>0.083</v>
      </c>
      <c r="D126" s="12">
        <v>257</v>
      </c>
      <c r="E126" s="15">
        <v>8.3000000000000004E-2</v>
      </c>
    </row>
    <row r="127" spans="1:5">
      <c r="A127" s="14">
        <v>25800.083299999998</v>
      </c>
      <c r="B127" s="17" t="str">
        <f t="shared" si="2"/>
        <v>258</v>
      </c>
      <c r="C127" s="16" t="str">
        <f t="shared" si="3"/>
        <v>.0833</v>
      </c>
      <c r="D127" s="12">
        <v>258</v>
      </c>
      <c r="E127" s="15">
        <v>8.3299999999999999E-2</v>
      </c>
    </row>
    <row r="128" spans="1:5">
      <c r="A128" s="14">
        <v>25900.083600000002</v>
      </c>
      <c r="B128" s="17" t="str">
        <f t="shared" si="2"/>
        <v>259</v>
      </c>
      <c r="C128" s="16" t="str">
        <f t="shared" si="3"/>
        <v>.0836</v>
      </c>
      <c r="D128" s="12">
        <v>259</v>
      </c>
      <c r="E128" s="15">
        <v>8.3599999999999994E-2</v>
      </c>
    </row>
    <row r="129" spans="1:5">
      <c r="A129" s="14">
        <v>26000.083900000001</v>
      </c>
      <c r="B129" s="17" t="str">
        <f t="shared" si="2"/>
        <v>260</v>
      </c>
      <c r="C129" s="16" t="str">
        <f t="shared" si="3"/>
        <v>.0839</v>
      </c>
      <c r="D129" s="12">
        <v>260</v>
      </c>
      <c r="E129" s="15">
        <v>8.3900000000000002E-2</v>
      </c>
    </row>
    <row r="130" spans="1:5">
      <c r="A130" s="14">
        <v>26100.084200000001</v>
      </c>
      <c r="B130" s="17" t="str">
        <f t="shared" ref="B130:B169" si="4">LEFT(A130,3)</f>
        <v>261</v>
      </c>
      <c r="C130" s="16" t="str">
        <f t="shared" ref="C130:C169" si="5">RIGHT(A130,5)</f>
        <v>.0842</v>
      </c>
      <c r="D130" s="12">
        <v>261</v>
      </c>
      <c r="E130" s="15">
        <v>8.4199999999999997E-2</v>
      </c>
    </row>
    <row r="131" spans="1:5">
      <c r="A131" s="14">
        <v>26200.084500000001</v>
      </c>
      <c r="B131" s="17" t="str">
        <f t="shared" si="4"/>
        <v>262</v>
      </c>
      <c r="C131" s="16" t="str">
        <f t="shared" si="5"/>
        <v>.0845</v>
      </c>
      <c r="D131" s="12">
        <v>262</v>
      </c>
      <c r="E131" s="15">
        <v>8.4500000000000006E-2</v>
      </c>
    </row>
    <row r="132" spans="1:5">
      <c r="A132" s="14">
        <v>26300.084800000001</v>
      </c>
      <c r="B132" s="17" t="str">
        <f t="shared" si="4"/>
        <v>263</v>
      </c>
      <c r="C132" s="16" t="str">
        <f t="shared" si="5"/>
        <v>.0848</v>
      </c>
      <c r="D132" s="12">
        <v>263</v>
      </c>
      <c r="E132" s="15">
        <v>8.48E-2</v>
      </c>
    </row>
    <row r="133" spans="1:5">
      <c r="A133" s="14">
        <v>26400.0851</v>
      </c>
      <c r="B133" s="17" t="str">
        <f t="shared" si="4"/>
        <v>264</v>
      </c>
      <c r="C133" s="16" t="str">
        <f t="shared" si="5"/>
        <v>.0851</v>
      </c>
      <c r="D133" s="12">
        <v>264</v>
      </c>
      <c r="E133" s="15">
        <v>8.5099999999999995E-2</v>
      </c>
    </row>
    <row r="134" spans="1:5">
      <c r="A134" s="14">
        <v>26500.0854</v>
      </c>
      <c r="B134" s="17" t="str">
        <f t="shared" si="4"/>
        <v>265</v>
      </c>
      <c r="C134" s="16" t="str">
        <f t="shared" si="5"/>
        <v>.0854</v>
      </c>
      <c r="D134" s="12">
        <v>265</v>
      </c>
      <c r="E134" s="15">
        <v>8.5400000000000004E-2</v>
      </c>
    </row>
    <row r="135" spans="1:5">
      <c r="A135" s="14">
        <v>26600.0857</v>
      </c>
      <c r="B135" s="17" t="str">
        <f t="shared" si="4"/>
        <v>266</v>
      </c>
      <c r="C135" s="16" t="str">
        <f t="shared" si="5"/>
        <v>.0857</v>
      </c>
      <c r="D135" s="12">
        <v>266</v>
      </c>
      <c r="E135" s="15">
        <v>8.5699999999999998E-2</v>
      </c>
    </row>
    <row r="136" spans="1:5">
      <c r="A136" s="14">
        <v>26700.085999999999</v>
      </c>
      <c r="B136" s="17" t="str">
        <f t="shared" si="4"/>
        <v>267</v>
      </c>
      <c r="C136" s="16" t="str">
        <f t="shared" si="5"/>
        <v>0.086</v>
      </c>
      <c r="D136" s="12">
        <v>267</v>
      </c>
      <c r="E136" s="15">
        <v>8.5999999999999993E-2</v>
      </c>
    </row>
    <row r="137" spans="1:5">
      <c r="A137" s="14">
        <v>26800.086299999999</v>
      </c>
      <c r="B137" s="17" t="str">
        <f t="shared" si="4"/>
        <v>268</v>
      </c>
      <c r="C137" s="16" t="str">
        <f t="shared" si="5"/>
        <v>.0863</v>
      </c>
      <c r="D137" s="12">
        <v>268</v>
      </c>
      <c r="E137" s="15">
        <v>8.6300000000000002E-2</v>
      </c>
    </row>
    <row r="138" spans="1:5">
      <c r="A138" s="14">
        <v>26900.086500000001</v>
      </c>
      <c r="B138" s="17" t="str">
        <f t="shared" si="4"/>
        <v>269</v>
      </c>
      <c r="C138" s="16" t="str">
        <f t="shared" si="5"/>
        <v>.0865</v>
      </c>
      <c r="D138" s="12">
        <v>269</v>
      </c>
      <c r="E138" s="15">
        <v>8.6499999999999994E-2</v>
      </c>
    </row>
    <row r="139" spans="1:5">
      <c r="A139" s="14">
        <v>27000.086800000001</v>
      </c>
      <c r="B139" s="17" t="str">
        <f t="shared" si="4"/>
        <v>270</v>
      </c>
      <c r="C139" s="16" t="str">
        <f t="shared" si="5"/>
        <v>.0868</v>
      </c>
      <c r="D139" s="12">
        <v>270</v>
      </c>
      <c r="E139" s="15">
        <v>8.6800000000000002E-2</v>
      </c>
    </row>
    <row r="140" spans="1:5">
      <c r="A140" s="14">
        <v>27100.087100000001</v>
      </c>
      <c r="B140" s="17" t="str">
        <f t="shared" si="4"/>
        <v>271</v>
      </c>
      <c r="C140" s="16" t="str">
        <f t="shared" si="5"/>
        <v>.0871</v>
      </c>
      <c r="D140" s="12">
        <v>271</v>
      </c>
      <c r="E140" s="15">
        <v>8.7099999999999997E-2</v>
      </c>
    </row>
    <row r="141" spans="1:5">
      <c r="A141" s="14">
        <v>27200.0874</v>
      </c>
      <c r="B141" s="17" t="str">
        <f t="shared" si="4"/>
        <v>272</v>
      </c>
      <c r="C141" s="16" t="str">
        <f t="shared" si="5"/>
        <v>.0874</v>
      </c>
      <c r="D141" s="12">
        <v>272</v>
      </c>
      <c r="E141" s="15">
        <v>8.7400000000000005E-2</v>
      </c>
    </row>
    <row r="142" spans="1:5">
      <c r="A142" s="14">
        <v>27300.0877</v>
      </c>
      <c r="B142" s="17" t="str">
        <f t="shared" si="4"/>
        <v>273</v>
      </c>
      <c r="C142" s="16" t="str">
        <f t="shared" si="5"/>
        <v>.0877</v>
      </c>
      <c r="D142" s="12">
        <v>273</v>
      </c>
      <c r="E142" s="15">
        <v>8.77E-2</v>
      </c>
    </row>
    <row r="143" spans="1:5">
      <c r="A143" s="14">
        <v>27400.088</v>
      </c>
      <c r="B143" s="17" t="str">
        <f t="shared" si="4"/>
        <v>274</v>
      </c>
      <c r="C143" s="16" t="str">
        <f t="shared" si="5"/>
        <v>0.088</v>
      </c>
      <c r="D143" s="12">
        <v>274</v>
      </c>
      <c r="E143" s="15">
        <v>8.7999999999999995E-2</v>
      </c>
    </row>
    <row r="144" spans="1:5">
      <c r="A144" s="14">
        <v>27500.088299999999</v>
      </c>
      <c r="B144" s="17" t="str">
        <f t="shared" si="4"/>
        <v>275</v>
      </c>
      <c r="C144" s="16" t="str">
        <f t="shared" si="5"/>
        <v>.0883</v>
      </c>
      <c r="D144" s="12">
        <v>275</v>
      </c>
      <c r="E144" s="15">
        <v>8.8300000000000003E-2</v>
      </c>
    </row>
    <row r="145" spans="1:5">
      <c r="A145" s="14">
        <v>27600.088599999999</v>
      </c>
      <c r="B145" s="17" t="str">
        <f t="shared" si="4"/>
        <v>276</v>
      </c>
      <c r="C145" s="16" t="str">
        <f t="shared" si="5"/>
        <v>.0886</v>
      </c>
      <c r="D145" s="12">
        <v>276</v>
      </c>
      <c r="E145" s="15">
        <v>8.8599999999999998E-2</v>
      </c>
    </row>
    <row r="146" spans="1:5">
      <c r="A146" s="14">
        <v>27700.088899999999</v>
      </c>
      <c r="B146" s="17" t="str">
        <f t="shared" si="4"/>
        <v>277</v>
      </c>
      <c r="C146" s="16" t="str">
        <f t="shared" si="5"/>
        <v>.0889</v>
      </c>
      <c r="D146" s="12">
        <v>277</v>
      </c>
      <c r="E146" s="15">
        <v>8.8900000000000007E-2</v>
      </c>
    </row>
    <row r="147" spans="1:5">
      <c r="A147" s="14">
        <v>27800.089199999999</v>
      </c>
      <c r="B147" s="17" t="str">
        <f t="shared" si="4"/>
        <v>278</v>
      </c>
      <c r="C147" s="16" t="str">
        <f t="shared" si="5"/>
        <v>.0892</v>
      </c>
      <c r="D147" s="12">
        <v>278</v>
      </c>
      <c r="E147" s="15">
        <v>8.9200000000000002E-2</v>
      </c>
    </row>
    <row r="148" spans="1:5">
      <c r="A148" s="14">
        <v>27900.089499999998</v>
      </c>
      <c r="B148" s="17" t="str">
        <f t="shared" si="4"/>
        <v>279</v>
      </c>
      <c r="C148" s="16" t="str">
        <f t="shared" si="5"/>
        <v>.0895</v>
      </c>
      <c r="D148" s="12">
        <v>279</v>
      </c>
      <c r="E148" s="15">
        <v>8.9499999999999996E-2</v>
      </c>
    </row>
    <row r="149" spans="1:5">
      <c r="A149" s="14">
        <v>28000.089800000002</v>
      </c>
      <c r="B149" s="17" t="str">
        <f t="shared" si="4"/>
        <v>280</v>
      </c>
      <c r="C149" s="16" t="str">
        <f t="shared" si="5"/>
        <v>.0898</v>
      </c>
      <c r="D149" s="12">
        <v>280</v>
      </c>
      <c r="E149" s="15">
        <v>8.9800000000000005E-2</v>
      </c>
    </row>
    <row r="150" spans="1:5">
      <c r="A150" s="14">
        <v>28100.090100000001</v>
      </c>
      <c r="B150" s="17" t="str">
        <f t="shared" si="4"/>
        <v>281</v>
      </c>
      <c r="C150" s="16" t="str">
        <f t="shared" si="5"/>
        <v>.0901</v>
      </c>
      <c r="D150" s="12">
        <v>281</v>
      </c>
      <c r="E150" s="15">
        <v>9.01E-2</v>
      </c>
    </row>
    <row r="151" spans="1:5">
      <c r="A151" s="14">
        <v>28200.0903</v>
      </c>
      <c r="B151" s="17" t="str">
        <f t="shared" si="4"/>
        <v>282</v>
      </c>
      <c r="C151" s="16" t="str">
        <f t="shared" si="5"/>
        <v>.0903</v>
      </c>
      <c r="D151" s="12">
        <v>282</v>
      </c>
      <c r="E151" s="15">
        <v>9.0300000000000005E-2</v>
      </c>
    </row>
    <row r="152" spans="1:5">
      <c r="A152" s="14">
        <v>28300.0906</v>
      </c>
      <c r="B152" s="17" t="str">
        <f t="shared" si="4"/>
        <v>283</v>
      </c>
      <c r="C152" s="16" t="str">
        <f t="shared" si="5"/>
        <v>.0906</v>
      </c>
      <c r="D152" s="12">
        <v>283</v>
      </c>
      <c r="E152" s="15">
        <v>9.06E-2</v>
      </c>
    </row>
    <row r="153" spans="1:5">
      <c r="A153" s="14">
        <v>28400.090899999999</v>
      </c>
      <c r="B153" s="17" t="str">
        <f t="shared" si="4"/>
        <v>284</v>
      </c>
      <c r="C153" s="16" t="str">
        <f t="shared" si="5"/>
        <v>.0909</v>
      </c>
      <c r="D153" s="12">
        <v>284</v>
      </c>
      <c r="E153" s="15">
        <v>9.0899999999999995E-2</v>
      </c>
    </row>
    <row r="154" spans="1:5">
      <c r="A154" s="14">
        <v>28500.091199999999</v>
      </c>
      <c r="B154" s="17" t="str">
        <f t="shared" si="4"/>
        <v>285</v>
      </c>
      <c r="C154" s="16" t="str">
        <f t="shared" si="5"/>
        <v>.0912</v>
      </c>
      <c r="D154" s="12">
        <v>285</v>
      </c>
      <c r="E154" s="15">
        <v>9.1200000000000003E-2</v>
      </c>
    </row>
    <row r="155" spans="1:5">
      <c r="A155" s="14">
        <v>28600.091499999999</v>
      </c>
      <c r="B155" s="17" t="str">
        <f t="shared" si="4"/>
        <v>286</v>
      </c>
      <c r="C155" s="16" t="str">
        <f t="shared" si="5"/>
        <v>.0915</v>
      </c>
      <c r="D155" s="12">
        <v>286</v>
      </c>
      <c r="E155" s="15">
        <v>9.1499999999999998E-2</v>
      </c>
    </row>
    <row r="156" spans="1:5">
      <c r="A156" s="14">
        <v>28700.091799999998</v>
      </c>
      <c r="B156" s="17" t="str">
        <f t="shared" si="4"/>
        <v>287</v>
      </c>
      <c r="C156" s="16" t="str">
        <f t="shared" si="5"/>
        <v>.0918</v>
      </c>
      <c r="D156" s="12">
        <v>287</v>
      </c>
      <c r="E156" s="15">
        <v>9.1800000000000007E-2</v>
      </c>
    </row>
    <row r="157" spans="1:5">
      <c r="A157" s="14">
        <v>28800.092100000002</v>
      </c>
      <c r="B157" s="17" t="str">
        <f t="shared" si="4"/>
        <v>288</v>
      </c>
      <c r="C157" s="16" t="str">
        <f t="shared" si="5"/>
        <v>.0921</v>
      </c>
      <c r="D157" s="12">
        <v>288</v>
      </c>
      <c r="E157" s="15">
        <v>9.2100000000000001E-2</v>
      </c>
    </row>
    <row r="158" spans="1:5">
      <c r="A158" s="14">
        <v>28900.092400000001</v>
      </c>
      <c r="B158" s="17" t="str">
        <f t="shared" si="4"/>
        <v>289</v>
      </c>
      <c r="C158" s="16" t="str">
        <f t="shared" si="5"/>
        <v>.0924</v>
      </c>
      <c r="D158" s="12">
        <v>289</v>
      </c>
      <c r="E158" s="15">
        <v>9.2399999999999996E-2</v>
      </c>
    </row>
    <row r="159" spans="1:5">
      <c r="A159" s="14">
        <v>29000.092700000001</v>
      </c>
      <c r="B159" s="17" t="str">
        <f t="shared" si="4"/>
        <v>290</v>
      </c>
      <c r="C159" s="16" t="str">
        <f t="shared" si="5"/>
        <v>.0927</v>
      </c>
      <c r="D159" s="12">
        <v>290</v>
      </c>
      <c r="E159" s="15">
        <v>9.2700000000000005E-2</v>
      </c>
    </row>
    <row r="160" spans="1:5">
      <c r="A160" s="14">
        <v>29100.093000000001</v>
      </c>
      <c r="B160" s="17" t="str">
        <f t="shared" si="4"/>
        <v>291</v>
      </c>
      <c r="C160" s="16" t="str">
        <f t="shared" si="5"/>
        <v>0.093</v>
      </c>
      <c r="D160" s="12">
        <v>291</v>
      </c>
      <c r="E160" s="15">
        <v>9.2999999999999999E-2</v>
      </c>
    </row>
    <row r="161" spans="1:5">
      <c r="A161" s="14">
        <v>29200.0933</v>
      </c>
      <c r="B161" s="17" t="str">
        <f t="shared" si="4"/>
        <v>292</v>
      </c>
      <c r="C161" s="16" t="str">
        <f t="shared" si="5"/>
        <v>.0933</v>
      </c>
      <c r="D161" s="12">
        <v>292</v>
      </c>
      <c r="E161" s="15">
        <v>9.3299999999999994E-2</v>
      </c>
    </row>
    <row r="162" spans="1:5">
      <c r="A162" s="14">
        <v>29300.0936</v>
      </c>
      <c r="B162" s="17" t="str">
        <f t="shared" si="4"/>
        <v>293</v>
      </c>
      <c r="C162" s="16" t="str">
        <f t="shared" si="5"/>
        <v>.0936</v>
      </c>
      <c r="D162" s="12">
        <v>293</v>
      </c>
      <c r="E162" s="15">
        <v>9.3600000000000003E-2</v>
      </c>
    </row>
    <row r="163" spans="1:5">
      <c r="A163" s="14">
        <v>29400.093799999999</v>
      </c>
      <c r="B163" s="17" t="str">
        <f t="shared" si="4"/>
        <v>294</v>
      </c>
      <c r="C163" s="16" t="str">
        <f t="shared" si="5"/>
        <v>.0938</v>
      </c>
      <c r="D163" s="12">
        <v>294</v>
      </c>
      <c r="E163" s="15">
        <v>9.3799999999999994E-2</v>
      </c>
    </row>
    <row r="164" spans="1:5">
      <c r="A164" s="14">
        <v>29500.094099999998</v>
      </c>
      <c r="B164" s="17" t="str">
        <f t="shared" si="4"/>
        <v>295</v>
      </c>
      <c r="C164" s="16" t="str">
        <f t="shared" si="5"/>
        <v>.0941</v>
      </c>
      <c r="D164" s="12">
        <v>295</v>
      </c>
      <c r="E164" s="15">
        <v>9.4100000000000003E-2</v>
      </c>
    </row>
    <row r="165" spans="1:5">
      <c r="A165" s="14">
        <v>29600.094400000002</v>
      </c>
      <c r="B165" s="17" t="str">
        <f t="shared" si="4"/>
        <v>296</v>
      </c>
      <c r="C165" s="16" t="str">
        <f t="shared" si="5"/>
        <v>.0944</v>
      </c>
      <c r="D165" s="12">
        <v>296</v>
      </c>
      <c r="E165" s="15">
        <v>9.4399999999999998E-2</v>
      </c>
    </row>
    <row r="166" spans="1:5">
      <c r="A166" s="14">
        <v>29700.094700000001</v>
      </c>
      <c r="B166" s="17" t="str">
        <f t="shared" si="4"/>
        <v>297</v>
      </c>
      <c r="C166" s="16" t="str">
        <f t="shared" si="5"/>
        <v>.0947</v>
      </c>
      <c r="D166" s="12">
        <v>297</v>
      </c>
      <c r="E166" s="15">
        <v>9.4700000000000006E-2</v>
      </c>
    </row>
    <row r="167" spans="1:5">
      <c r="A167" s="14">
        <v>29800.095000000001</v>
      </c>
      <c r="B167" s="17" t="str">
        <f t="shared" si="4"/>
        <v>298</v>
      </c>
      <c r="C167" s="16" t="str">
        <f t="shared" si="5"/>
        <v>0.095</v>
      </c>
      <c r="D167" s="12">
        <v>298</v>
      </c>
      <c r="E167" s="15">
        <v>9.5000000000000001E-2</v>
      </c>
    </row>
    <row r="168" spans="1:5">
      <c r="A168" s="14">
        <v>29900.095300000001</v>
      </c>
      <c r="B168" s="17" t="str">
        <f t="shared" si="4"/>
        <v>299</v>
      </c>
      <c r="C168" s="16" t="str">
        <f t="shared" si="5"/>
        <v>.0953</v>
      </c>
      <c r="D168" s="12">
        <v>299</v>
      </c>
      <c r="E168" s="15">
        <v>9.5299999999999996E-2</v>
      </c>
    </row>
    <row r="169" spans="1:5">
      <c r="A169" s="14">
        <v>30000.095600000001</v>
      </c>
      <c r="B169" s="17" t="str">
        <f t="shared" si="4"/>
        <v>300</v>
      </c>
      <c r="C169" s="16" t="str">
        <f t="shared" si="5"/>
        <v>.0956</v>
      </c>
      <c r="D169" s="12">
        <v>300</v>
      </c>
      <c r="E169" s="15">
        <v>9.5600000000000004E-2</v>
      </c>
    </row>
  </sheetData>
  <sheetProtection algorithmName="SHA-512" hashValue="jTLwlvYo0TCpjYA+ggDC41sh3oD9H6MASaGT0RrUk3I22Qs+T3hBPDWuNbegpKU5uxPGKdEdVZIulPGH1esgAw==" saltValue="Cy3ktkV63DwF6kBqldlux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4"/>
  <dimension ref="A1:J14"/>
  <sheetViews>
    <sheetView workbookViewId="0">
      <selection activeCell="F28" sqref="F28"/>
    </sheetView>
  </sheetViews>
  <sheetFormatPr defaultRowHeight="15"/>
  <cols>
    <col min="2" max="2" width="22" customWidth="1"/>
    <col min="3" max="3" width="15" customWidth="1"/>
    <col min="9" max="9" width="11.28515625" bestFit="1" customWidth="1"/>
  </cols>
  <sheetData>
    <row r="1" spans="1:10">
      <c r="A1" t="s">
        <v>161</v>
      </c>
    </row>
    <row r="2" spans="1:10">
      <c r="A2" t="s">
        <v>162</v>
      </c>
    </row>
    <row r="3" spans="1:10">
      <c r="B3" t="s">
        <v>163</v>
      </c>
    </row>
    <row r="4" spans="1:10">
      <c r="B4" t="s">
        <v>164</v>
      </c>
    </row>
    <row r="5" spans="1:10">
      <c r="B5" t="s">
        <v>165</v>
      </c>
    </row>
    <row r="6" spans="1:10">
      <c r="I6" s="46" t="s">
        <v>166</v>
      </c>
      <c r="J6" s="46" t="s">
        <v>167</v>
      </c>
    </row>
    <row r="7" spans="1:10">
      <c r="I7" s="47" t="e">
        <f>('Printable Form'!AC14)</f>
        <v>#N/A</v>
      </c>
      <c r="J7" s="47" t="e">
        <f>'Form 8962'!B25</f>
        <v>#N/A</v>
      </c>
    </row>
    <row r="8" spans="1:10">
      <c r="I8" s="46"/>
      <c r="J8" s="46"/>
    </row>
    <row r="9" spans="1:10">
      <c r="B9" t="s">
        <v>168</v>
      </c>
      <c r="C9">
        <f>IF('Printable Form'!AJ3="yes",1,2)</f>
        <v>2</v>
      </c>
      <c r="I9" s="46" t="s">
        <v>169</v>
      </c>
      <c r="J9" s="46" t="s">
        <v>170</v>
      </c>
    </row>
    <row r="10" spans="1:10">
      <c r="D10" t="s">
        <v>166</v>
      </c>
      <c r="E10" t="s">
        <v>167</v>
      </c>
      <c r="I10" s="46" t="e">
        <f>IF(I7&lt;200,300,IF(I7&lt;300,775,IF(I7&lt;400,1300,"leave blank")))</f>
        <v>#N/A</v>
      </c>
      <c r="J10" s="46" t="e">
        <f>IF(I7&lt;200,600,IF(I7&lt;300,1550,IF(I7&lt;400,2600,"leave blank")))</f>
        <v>#N/A</v>
      </c>
    </row>
    <row r="11" spans="1:10">
      <c r="B11" t="s">
        <v>171</v>
      </c>
      <c r="C11" t="s">
        <v>172</v>
      </c>
      <c r="D11">
        <v>300</v>
      </c>
      <c r="E11">
        <v>600</v>
      </c>
    </row>
    <row r="12" spans="1:10">
      <c r="B12" t="s">
        <v>173</v>
      </c>
      <c r="C12" t="s">
        <v>174</v>
      </c>
      <c r="D12">
        <v>775</v>
      </c>
      <c r="E12">
        <v>1550</v>
      </c>
      <c r="I12" t="e">
        <f>IF('Printable Form'!AJ3="yes",'REPayment Limitation'!I10,J10)</f>
        <v>#N/A</v>
      </c>
      <c r="J12" t="s">
        <v>175</v>
      </c>
    </row>
    <row r="13" spans="1:10">
      <c r="B13" t="s">
        <v>176</v>
      </c>
      <c r="C13" t="s">
        <v>177</v>
      </c>
      <c r="D13">
        <v>1300</v>
      </c>
      <c r="E13">
        <v>2600</v>
      </c>
    </row>
    <row r="14" spans="1:10">
      <c r="B14" t="s">
        <v>178</v>
      </c>
      <c r="C14" t="s">
        <v>179</v>
      </c>
      <c r="D14" t="s">
        <v>204</v>
      </c>
    </row>
  </sheetData>
  <sheetProtection algorithmName="SHA-512" hashValue="y3z4iYMBBOMMh4rMEjCgNInqR4HINWFIfmr62XQB9kg0TWNqE6M2c2wh2JhQXZGepiiHq1wYbbQZPFBPaslKDg==" saltValue="sieUJYQPc/RcFu9fqN8Pt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5"/>
  <dimension ref="A1:H22"/>
  <sheetViews>
    <sheetView topLeftCell="A4" workbookViewId="0">
      <selection activeCell="G23" sqref="G23"/>
    </sheetView>
  </sheetViews>
  <sheetFormatPr defaultRowHeight="15"/>
  <cols>
    <col min="1" max="1" width="7" customWidth="1"/>
    <col min="2" max="2" width="12.5703125" customWidth="1"/>
    <col min="5" max="5" width="14.28515625" style="11" customWidth="1"/>
    <col min="6" max="6" width="33" customWidth="1"/>
    <col min="7" max="7" width="31.28515625" customWidth="1"/>
    <col min="8" max="8" width="3" customWidth="1"/>
  </cols>
  <sheetData>
    <row r="1" spans="1:8">
      <c r="A1" t="s">
        <v>180</v>
      </c>
      <c r="E1" s="119"/>
    </row>
    <row r="2" spans="1:8" ht="30">
      <c r="A2" s="9" t="s">
        <v>181</v>
      </c>
      <c r="B2" s="8" t="s">
        <v>182</v>
      </c>
      <c r="E2" s="119"/>
    </row>
    <row r="3" spans="1:8">
      <c r="A3" s="1">
        <v>1</v>
      </c>
      <c r="B3" s="2">
        <v>12060</v>
      </c>
      <c r="E3" s="119"/>
    </row>
    <row r="4" spans="1:8">
      <c r="A4" s="1">
        <v>2</v>
      </c>
      <c r="B4" s="2">
        <v>16240</v>
      </c>
      <c r="E4" s="10" t="s">
        <v>183</v>
      </c>
    </row>
    <row r="5" spans="1:8">
      <c r="A5" s="1">
        <v>3</v>
      </c>
      <c r="B5" s="2">
        <v>20420</v>
      </c>
      <c r="E5" s="119" t="s">
        <v>184</v>
      </c>
      <c r="F5" t="s">
        <v>185</v>
      </c>
      <c r="G5" s="1">
        <f>SUM('Printable Form'!U9:U10)</f>
        <v>0</v>
      </c>
    </row>
    <row r="6" spans="1:8">
      <c r="A6" s="1">
        <v>4</v>
      </c>
      <c r="B6" s="2">
        <v>24600</v>
      </c>
      <c r="E6" s="119" t="s">
        <v>186</v>
      </c>
      <c r="F6" t="s">
        <v>187</v>
      </c>
      <c r="G6" s="1" t="e">
        <f>INDEX(B3:B22,MATCH(('Printable Form'!AC8),A3:A22,0))</f>
        <v>#N/A</v>
      </c>
    </row>
    <row r="7" spans="1:8">
      <c r="A7" s="1">
        <v>5</v>
      </c>
      <c r="B7" s="2">
        <v>28780</v>
      </c>
      <c r="E7" s="119" t="s">
        <v>188</v>
      </c>
      <c r="F7" t="s">
        <v>189</v>
      </c>
      <c r="G7" s="1" t="e">
        <f>G6*4</f>
        <v>#N/A</v>
      </c>
    </row>
    <row r="8" spans="1:8">
      <c r="A8" s="1">
        <v>6</v>
      </c>
      <c r="B8" s="2">
        <v>32960</v>
      </c>
      <c r="E8" s="119" t="s">
        <v>190</v>
      </c>
      <c r="F8" t="s">
        <v>191</v>
      </c>
      <c r="G8" s="1"/>
    </row>
    <row r="9" spans="1:8">
      <c r="A9" s="1">
        <v>7</v>
      </c>
      <c r="B9" s="2">
        <v>37140</v>
      </c>
      <c r="E9" s="123" t="s">
        <v>46</v>
      </c>
      <c r="F9" t="s">
        <v>192</v>
      </c>
      <c r="G9" s="19" t="e">
        <f>IF(G5&gt;G7,401,"X")</f>
        <v>#N/A</v>
      </c>
    </row>
    <row r="10" spans="1:8">
      <c r="A10" s="1">
        <v>8</v>
      </c>
      <c r="B10" s="2">
        <v>41320</v>
      </c>
      <c r="E10" s="123" t="s">
        <v>48</v>
      </c>
      <c r="F10" t="s">
        <v>193</v>
      </c>
      <c r="G10" s="20" t="e">
        <f>IF(G5&lt;G7,FLOOR(G5/G6*100,1),"x")</f>
        <v>#N/A</v>
      </c>
      <c r="H10" t="s">
        <v>35</v>
      </c>
    </row>
    <row r="11" spans="1:8">
      <c r="A11" s="70">
        <v>9</v>
      </c>
      <c r="B11" s="23">
        <f>B10+4180</f>
        <v>45500</v>
      </c>
      <c r="E11" s="119"/>
      <c r="F11" t="s">
        <v>194</v>
      </c>
    </row>
    <row r="12" spans="1:8">
      <c r="A12" s="70">
        <v>10</v>
      </c>
      <c r="B12" s="23">
        <f t="shared" ref="B12:B22" si="0">B11+4180</f>
        <v>49680</v>
      </c>
      <c r="E12" s="119"/>
      <c r="F12" t="s">
        <v>195</v>
      </c>
    </row>
    <row r="13" spans="1:8">
      <c r="A13" s="70">
        <v>11</v>
      </c>
      <c r="B13" s="23">
        <f t="shared" si="0"/>
        <v>53860</v>
      </c>
      <c r="E13" s="119"/>
    </row>
    <row r="14" spans="1:8">
      <c r="A14" s="70">
        <v>12</v>
      </c>
      <c r="B14" s="23">
        <f t="shared" si="0"/>
        <v>58040</v>
      </c>
      <c r="E14" s="119"/>
    </row>
    <row r="15" spans="1:8">
      <c r="A15" s="70">
        <v>13</v>
      </c>
      <c r="B15" s="23">
        <f t="shared" si="0"/>
        <v>62220</v>
      </c>
      <c r="E15" s="119"/>
    </row>
    <row r="16" spans="1:8">
      <c r="A16" s="70">
        <v>14</v>
      </c>
      <c r="B16" s="23">
        <f t="shared" si="0"/>
        <v>66400</v>
      </c>
      <c r="C16" t="s">
        <v>196</v>
      </c>
      <c r="E16" s="119"/>
    </row>
    <row r="17" spans="1:2">
      <c r="A17" s="70">
        <v>15</v>
      </c>
      <c r="B17" s="23">
        <f t="shared" si="0"/>
        <v>70580</v>
      </c>
    </row>
    <row r="18" spans="1:2">
      <c r="A18" s="70">
        <v>16</v>
      </c>
      <c r="B18" s="23">
        <f t="shared" si="0"/>
        <v>74760</v>
      </c>
    </row>
    <row r="19" spans="1:2">
      <c r="A19" s="70">
        <v>17</v>
      </c>
      <c r="B19" s="23">
        <f t="shared" si="0"/>
        <v>78940</v>
      </c>
    </row>
    <row r="20" spans="1:2">
      <c r="A20" s="70">
        <v>18</v>
      </c>
      <c r="B20" s="23">
        <f t="shared" si="0"/>
        <v>83120</v>
      </c>
    </row>
    <row r="21" spans="1:2">
      <c r="A21" s="70">
        <v>19</v>
      </c>
      <c r="B21" s="23">
        <f t="shared" si="0"/>
        <v>87300</v>
      </c>
    </row>
    <row r="22" spans="1:2">
      <c r="A22" s="70">
        <v>20</v>
      </c>
      <c r="B22" s="23">
        <f t="shared" si="0"/>
        <v>91480</v>
      </c>
    </row>
  </sheetData>
  <sheetProtection algorithmName="SHA-512" hashValue="Z0aoowfOztFjP83n3zmtQ6YPALoZgniw7U79Ak5/4aVGnfVvieaE8fn8r1KH6jpA3neoiGg3FxBrZvuOzjOU8w==" saltValue="KxOw4PN2vRmABYq9voizi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Printable Form</vt:lpstr>
      <vt:lpstr>Form 8962</vt:lpstr>
      <vt:lpstr>Applicable Figures</vt:lpstr>
      <vt:lpstr>REPayment Limitation</vt:lpstr>
      <vt:lpstr>tables</vt:lpstr>
      <vt:lpstr>'Printable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Mary Meador</cp:lastModifiedBy>
  <cp:revision/>
  <cp:lastPrinted>2019-06-27T19:19:21Z</cp:lastPrinted>
  <dcterms:created xsi:type="dcterms:W3CDTF">2019-05-23T23:28:49Z</dcterms:created>
  <dcterms:modified xsi:type="dcterms:W3CDTF">2019-06-27T19:21:40Z</dcterms:modified>
  <cp:category/>
  <cp:contentStatus/>
</cp:coreProperties>
</file>